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465" yWindow="60" windowWidth="13080" windowHeight="11625" tabRatio="744" activeTab="10"/>
  </bookViews>
  <sheets>
    <sheet name="Титул" sheetId="1" state="hidden" r:id="rId1"/>
    <sheet name="Р 1" sheetId="2" state="hidden" r:id="rId2"/>
    <sheet name="Р 2" sheetId="3" state="hidden" r:id="rId3"/>
    <sheet name="Р 3" sheetId="4" state="hidden" r:id="rId4"/>
    <sheet name="ПЭД" sheetId="5" state="hidden" r:id="rId5"/>
    <sheet name="Лист3" sheetId="6" state="hidden" r:id="rId6"/>
    <sheet name="Титульный" sheetId="7" r:id="rId7"/>
    <sheet name="Раздел 1" sheetId="8" r:id="rId8"/>
    <sheet name="Раздел 2" sheetId="9" r:id="rId9"/>
    <sheet name="Раздел 3" sheetId="10" r:id="rId10"/>
    <sheet name="Показатели ЭД" sheetId="11" r:id="rId11"/>
    <sheet name="Тр-й налог" sheetId="12" state="hidden" r:id="rId12"/>
    <sheet name="Загрязнение" sheetId="13" state="hidden" r:id="rId13"/>
    <sheet name="расх на персонал" sheetId="14" state="hidden" r:id="rId14"/>
    <sheet name="капитаны" sheetId="15" state="hidden" r:id="rId15"/>
    <sheet name="НГ подарки" sheetId="16" state="hidden" r:id="rId16"/>
    <sheet name="питание" sheetId="17" state="hidden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xlnm._FilterDatabase" localSheetId="13" hidden="1">'расх на персонал'!$A$6:$BU$110</definedName>
    <definedName name="Z_80B0E170_A035_4DE0_BD35_7F2B0792F40C_.wvu.PrintArea" localSheetId="1">#REF!</definedName>
    <definedName name="Z_80B0E170_A035_4DE0_BD35_7F2B0792F40C_.wvu.PrintArea" localSheetId="2">#REF!</definedName>
    <definedName name="Z_89F018B7_0164_4C13_BB93_F842B9310875_.wvu.Cols" localSheetId="2">#REF!</definedName>
    <definedName name="Z_89F018B7_0164_4C13_BB93_F842B9310875_.wvu.PrintArea" localSheetId="1">#REF!</definedName>
    <definedName name="Z_89F018B7_0164_4C13_BB93_F842B9310875_.wvu.PrintArea" localSheetId="2">#REF!</definedName>
    <definedName name="Z_89F018B7_0164_4C13_BB93_F842B9310875_.wvu.PrintTitles" localSheetId="1">'Р 1'!$3:$5</definedName>
    <definedName name="_xlnm.Print_Area" localSheetId="16">питание!$A$1:$W$12</definedName>
    <definedName name="_xlnm.Print_Area" localSheetId="10">'Показатели ЭД'!$A$5:$E$19</definedName>
    <definedName name="_xlnm.Print_Area" localSheetId="1">'Р 1'!$A$1:$J$115</definedName>
    <definedName name="_xlnm.Print_Area" localSheetId="2">'Р 2'!$A$1:$K$43</definedName>
    <definedName name="_xlnm.Print_Area" localSheetId="3">'Р 3'!$A$1:$K$383</definedName>
    <definedName name="_xlnm.Print_Area" localSheetId="7">'Раздел 1'!$A$1:$I$49</definedName>
    <definedName name="_xlnm.Print_Area" localSheetId="8">'Раздел 2'!$A$1:$H$89</definedName>
    <definedName name="_xlnm.Print_Area" localSheetId="9">'Раздел 3'!$A$1:$J$28</definedName>
    <definedName name="_xlnm.Print_Area" localSheetId="0">Титул!$A$1:$C$29</definedName>
    <definedName name="_xlnm.Print_Area" localSheetId="6">Титульный!$A$1:$C$26</definedName>
    <definedName name="_xlnm.Print_Area" localSheetId="11">'Тр-й налог'!$A$1:$U$36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3" i="17" l="1"/>
  <c r="B43" i="17"/>
  <c r="M42" i="17"/>
  <c r="N42" i="17" s="1"/>
  <c r="F7" i="17" s="1"/>
  <c r="L42" i="17"/>
  <c r="B42" i="17"/>
  <c r="N41" i="17"/>
  <c r="B41" i="17"/>
  <c r="C39" i="17"/>
  <c r="I41" i="17" s="1"/>
  <c r="R37" i="17"/>
  <c r="R35" i="17"/>
  <c r="D28" i="17"/>
  <c r="G26" i="17"/>
  <c r="M11" i="17"/>
  <c r="K10" i="17"/>
  <c r="H10" i="17"/>
  <c r="M7" i="17"/>
  <c r="K7" i="17"/>
  <c r="J7" i="17"/>
  <c r="J11" i="17" s="1"/>
  <c r="G7" i="17"/>
  <c r="G11" i="17" s="1"/>
  <c r="C7" i="17"/>
  <c r="C6" i="17"/>
  <c r="B6" i="17"/>
  <c r="I36" i="16"/>
  <c r="I35" i="16"/>
  <c r="I34" i="16"/>
  <c r="I33" i="16"/>
  <c r="I32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A18" i="16"/>
  <c r="A19" i="16" s="1"/>
  <c r="A20" i="16" s="1"/>
  <c r="A21" i="16" s="1"/>
  <c r="A22" i="16" s="1"/>
  <c r="A23" i="16" s="1"/>
  <c r="A24" i="16" s="1"/>
  <c r="A25" i="16" s="1"/>
  <c r="A26" i="16" s="1"/>
  <c r="A27" i="16" s="1"/>
  <c r="A28" i="16" s="1"/>
  <c r="A29" i="16" s="1"/>
  <c r="A30" i="16" s="1"/>
  <c r="A31" i="16" s="1"/>
  <c r="A32" i="16" s="1"/>
  <c r="A33" i="16" s="1"/>
  <c r="A34" i="16" s="1"/>
  <c r="A35" i="16" s="1"/>
  <c r="A36" i="16" s="1"/>
  <c r="I37" i="16" s="1"/>
  <c r="E42" i="16" s="1"/>
  <c r="I17" i="16"/>
  <c r="I16" i="16"/>
  <c r="I15" i="16"/>
  <c r="I14" i="16"/>
  <c r="I13" i="16"/>
  <c r="I12" i="16"/>
  <c r="I11" i="16"/>
  <c r="I10" i="16"/>
  <c r="A10" i="16"/>
  <c r="A11" i="16" s="1"/>
  <c r="A12" i="16" s="1"/>
  <c r="A13" i="16" s="1"/>
  <c r="A14" i="16" s="1"/>
  <c r="A15" i="16" s="1"/>
  <c r="A16" i="16" s="1"/>
  <c r="A17" i="16" s="1"/>
  <c r="I9" i="16"/>
  <c r="I8" i="16"/>
  <c r="A8" i="16"/>
  <c r="A9" i="16" s="1"/>
  <c r="I7" i="16"/>
  <c r="N17" i="15"/>
  <c r="K17" i="15"/>
  <c r="L10" i="15"/>
  <c r="I10" i="15"/>
  <c r="F10" i="15"/>
  <c r="C10" i="15"/>
  <c r="L9" i="15"/>
  <c r="I9" i="15"/>
  <c r="F9" i="15"/>
  <c r="C9" i="15"/>
  <c r="L8" i="15"/>
  <c r="I8" i="15"/>
  <c r="H8" i="15"/>
  <c r="H17" i="15" s="1"/>
  <c r="F8" i="15"/>
  <c r="C8" i="15"/>
  <c r="I7" i="15"/>
  <c r="F7" i="15"/>
  <c r="E7" i="15"/>
  <c r="E17" i="15" s="1"/>
  <c r="C7" i="15"/>
  <c r="M6" i="15"/>
  <c r="M17" i="15" s="1"/>
  <c r="J6" i="15"/>
  <c r="J17" i="15" s="1"/>
  <c r="I6" i="15"/>
  <c r="G6" i="15"/>
  <c r="G17" i="15" s="1"/>
  <c r="F6" i="15"/>
  <c r="D6" i="15"/>
  <c r="D17" i="15" s="1"/>
  <c r="AK117" i="14"/>
  <c r="AJ117" i="14"/>
  <c r="AI117" i="14"/>
  <c r="AH117" i="14"/>
  <c r="AG117" i="14"/>
  <c r="AL116" i="14"/>
  <c r="AF116" i="14"/>
  <c r="AF117" i="14" s="1"/>
  <c r="AE116" i="14"/>
  <c r="AD116" i="14"/>
  <c r="AC116" i="14"/>
  <c r="Z116" i="14"/>
  <c r="Y116" i="14"/>
  <c r="X116" i="14"/>
  <c r="AC115" i="14"/>
  <c r="Z115" i="14"/>
  <c r="Y115" i="14"/>
  <c r="AC114" i="14"/>
  <c r="AA114" i="14"/>
  <c r="Z114" i="14"/>
  <c r="Z117" i="14" s="1"/>
  <c r="Y114" i="14"/>
  <c r="AS105" i="14"/>
  <c r="BE103" i="14"/>
  <c r="BD103" i="14"/>
  <c r="BC103" i="14"/>
  <c r="P103" i="14"/>
  <c r="N103" i="14"/>
  <c r="E103" i="14"/>
  <c r="BG102" i="14"/>
  <c r="BB102" i="14"/>
  <c r="BA102" i="14"/>
  <c r="BH102" i="14" s="1"/>
  <c r="AZ102" i="14"/>
  <c r="AY102" i="14"/>
  <c r="BI102" i="14" s="1"/>
  <c r="J102" i="14"/>
  <c r="BK101" i="14"/>
  <c r="BP101" i="14" s="1"/>
  <c r="BI101" i="14"/>
  <c r="BN101" i="14" s="1"/>
  <c r="BH101" i="14"/>
  <c r="BG101" i="14"/>
  <c r="BF101" i="14"/>
  <c r="J101" i="14"/>
  <c r="BR100" i="14"/>
  <c r="BQ100" i="14"/>
  <c r="BM100" i="14"/>
  <c r="BL100" i="14"/>
  <c r="BI100" i="14"/>
  <c r="BH100" i="14"/>
  <c r="BG100" i="14"/>
  <c r="BF100" i="14"/>
  <c r="L100" i="14"/>
  <c r="J100" i="14"/>
  <c r="BB99" i="14"/>
  <c r="BA99" i="14"/>
  <c r="AZ99" i="14"/>
  <c r="AY99" i="14"/>
  <c r="BH99" i="14" s="1"/>
  <c r="BM99" i="14" s="1"/>
  <c r="R99" i="14"/>
  <c r="S99" i="14" s="1"/>
  <c r="J99" i="14"/>
  <c r="BB98" i="14"/>
  <c r="BA98" i="14"/>
  <c r="AZ98" i="14"/>
  <c r="AY98" i="14"/>
  <c r="S98" i="14"/>
  <c r="R98" i="14"/>
  <c r="J98" i="14"/>
  <c r="BG97" i="14"/>
  <c r="BB97" i="14"/>
  <c r="BI97" i="14" s="1"/>
  <c r="BN97" i="14" s="1"/>
  <c r="BA97" i="14"/>
  <c r="BH97" i="14" s="1"/>
  <c r="AZ97" i="14"/>
  <c r="BF97" i="14" s="1"/>
  <c r="R97" i="14"/>
  <c r="S97" i="14" s="1"/>
  <c r="J97" i="14"/>
  <c r="BB96" i="14"/>
  <c r="BA96" i="14"/>
  <c r="AZ96" i="14"/>
  <c r="AY96" i="14"/>
  <c r="R96" i="14"/>
  <c r="S96" i="14" s="1"/>
  <c r="J96" i="14"/>
  <c r="BB95" i="14"/>
  <c r="BA95" i="14"/>
  <c r="AZ95" i="14"/>
  <c r="AY95" i="14"/>
  <c r="R95" i="14"/>
  <c r="S95" i="14" s="1"/>
  <c r="J95" i="14"/>
  <c r="BB94" i="14"/>
  <c r="BA94" i="14"/>
  <c r="AZ94" i="14"/>
  <c r="AY94" i="14"/>
  <c r="R94" i="14"/>
  <c r="S94" i="14" s="1"/>
  <c r="J94" i="14"/>
  <c r="BG93" i="14"/>
  <c r="BB93" i="14"/>
  <c r="BA93" i="14"/>
  <c r="AZ93" i="14"/>
  <c r="AY93" i="14"/>
  <c r="J93" i="14"/>
  <c r="BM92" i="14"/>
  <c r="BR92" i="14" s="1"/>
  <c r="BG92" i="14"/>
  <c r="BL92" i="14" s="1"/>
  <c r="BB92" i="14"/>
  <c r="BI92" i="14" s="1"/>
  <c r="BA92" i="14"/>
  <c r="AZ92" i="14"/>
  <c r="AY92" i="14"/>
  <c r="BH92" i="14" s="1"/>
  <c r="R92" i="14"/>
  <c r="J92" i="14"/>
  <c r="BQ91" i="14"/>
  <c r="BM91" i="14"/>
  <c r="BL91" i="14"/>
  <c r="BG91" i="14"/>
  <c r="BB91" i="14"/>
  <c r="BI91" i="14" s="1"/>
  <c r="BA91" i="14"/>
  <c r="BH91" i="14" s="1"/>
  <c r="AZ91" i="14"/>
  <c r="AY91" i="14"/>
  <c r="BF91" i="14" s="1"/>
  <c r="J91" i="14"/>
  <c r="BQ90" i="14"/>
  <c r="BL90" i="14"/>
  <c r="BI90" i="14"/>
  <c r="BG90" i="14"/>
  <c r="BB90" i="14"/>
  <c r="BA90" i="14"/>
  <c r="BH90" i="14" s="1"/>
  <c r="AZ90" i="14"/>
  <c r="AY90" i="14"/>
  <c r="BF90" i="14" s="1"/>
  <c r="J90" i="14"/>
  <c r="BQ89" i="14"/>
  <c r="BL89" i="14"/>
  <c r="BI89" i="14"/>
  <c r="BG89" i="14"/>
  <c r="BB89" i="14"/>
  <c r="BA89" i="14"/>
  <c r="BH89" i="14" s="1"/>
  <c r="AZ89" i="14"/>
  <c r="AY89" i="14"/>
  <c r="BF89" i="14" s="1"/>
  <c r="J89" i="14"/>
  <c r="BQ88" i="14"/>
  <c r="BL88" i="14"/>
  <c r="BG88" i="14"/>
  <c r="BB88" i="14"/>
  <c r="BI88" i="14" s="1"/>
  <c r="BA88" i="14"/>
  <c r="BH88" i="14" s="1"/>
  <c r="AZ88" i="14"/>
  <c r="AY88" i="14"/>
  <c r="BF88" i="14" s="1"/>
  <c r="J88" i="14"/>
  <c r="BQ87" i="14"/>
  <c r="BM87" i="14"/>
  <c r="BL87" i="14"/>
  <c r="BG87" i="14"/>
  <c r="BB87" i="14"/>
  <c r="BI87" i="14" s="1"/>
  <c r="BA87" i="14"/>
  <c r="BH87" i="14" s="1"/>
  <c r="AZ87" i="14"/>
  <c r="AY87" i="14"/>
  <c r="BF87" i="14" s="1"/>
  <c r="J87" i="14"/>
  <c r="BQ86" i="14"/>
  <c r="BL86" i="14"/>
  <c r="BI86" i="14"/>
  <c r="BG86" i="14"/>
  <c r="BB86" i="14"/>
  <c r="BA86" i="14"/>
  <c r="BA103" i="14" s="1"/>
  <c r="AZ86" i="14"/>
  <c r="AY86" i="14"/>
  <c r="Z86" i="14"/>
  <c r="R86" i="14"/>
  <c r="J86" i="14"/>
  <c r="BD85" i="14"/>
  <c r="BB85" i="14"/>
  <c r="P85" i="14"/>
  <c r="N85" i="14"/>
  <c r="E85" i="14"/>
  <c r="BP84" i="14"/>
  <c r="BL84" i="14"/>
  <c r="BK84" i="14"/>
  <c r="BI84" i="14"/>
  <c r="BN84" i="14" s="1"/>
  <c r="BS84" i="14" s="1"/>
  <c r="BH84" i="14"/>
  <c r="BG84" i="14"/>
  <c r="BQ84" i="14" s="1"/>
  <c r="BF84" i="14"/>
  <c r="Z84" i="14"/>
  <c r="J84" i="14"/>
  <c r="R84" i="14" s="1"/>
  <c r="S84" i="14" s="1"/>
  <c r="BP83" i="14"/>
  <c r="BL83" i="14"/>
  <c r="BK83" i="14"/>
  <c r="BI83" i="14"/>
  <c r="BH83" i="14"/>
  <c r="BG83" i="14"/>
  <c r="BQ83" i="14" s="1"/>
  <c r="BF83" i="14"/>
  <c r="BJ83" i="14" s="1"/>
  <c r="AW83" i="14"/>
  <c r="AR83" i="14"/>
  <c r="AO83" i="14"/>
  <c r="AT83" i="14" s="1"/>
  <c r="Z83" i="14"/>
  <c r="R83" i="14"/>
  <c r="J83" i="14"/>
  <c r="BR82" i="14"/>
  <c r="BN82" i="14"/>
  <c r="BM82" i="14"/>
  <c r="BI82" i="14"/>
  <c r="BS82" i="14" s="1"/>
  <c r="BH82" i="14"/>
  <c r="BG82" i="14"/>
  <c r="BL82" i="14" s="1"/>
  <c r="BQ82" i="14" s="1"/>
  <c r="BF82" i="14"/>
  <c r="AT82" i="14"/>
  <c r="AR82" i="14"/>
  <c r="AW82" i="14" s="1"/>
  <c r="AO82" i="14"/>
  <c r="Z82" i="14"/>
  <c r="T82" i="14"/>
  <c r="J82" i="14"/>
  <c r="R82" i="14" s="1"/>
  <c r="S82" i="14" s="1"/>
  <c r="BP81" i="14"/>
  <c r="BL81" i="14"/>
  <c r="BK81" i="14"/>
  <c r="BI81" i="14"/>
  <c r="BN81" i="14" s="1"/>
  <c r="BS81" i="14" s="1"/>
  <c r="BH81" i="14"/>
  <c r="BG81" i="14"/>
  <c r="BQ81" i="14" s="1"/>
  <c r="BF81" i="14"/>
  <c r="AW81" i="14"/>
  <c r="AR81" i="14"/>
  <c r="AO81" i="14"/>
  <c r="Z81" i="14"/>
  <c r="R81" i="14"/>
  <c r="J81" i="14"/>
  <c r="BR80" i="14"/>
  <c r="BN80" i="14"/>
  <c r="BM80" i="14"/>
  <c r="BI80" i="14"/>
  <c r="BS80" i="14" s="1"/>
  <c r="BH80" i="14"/>
  <c r="BG80" i="14"/>
  <c r="BL80" i="14" s="1"/>
  <c r="BQ80" i="14" s="1"/>
  <c r="BF80" i="14"/>
  <c r="AT80" i="14"/>
  <c r="AR80" i="14"/>
  <c r="AW80" i="14" s="1"/>
  <c r="AO80" i="14"/>
  <c r="Z80" i="14"/>
  <c r="T80" i="14"/>
  <c r="J80" i="14"/>
  <c r="R80" i="14" s="1"/>
  <c r="S80" i="14" s="1"/>
  <c r="BP79" i="14"/>
  <c r="BL79" i="14"/>
  <c r="BK79" i="14"/>
  <c r="BI79" i="14"/>
  <c r="BN79" i="14" s="1"/>
  <c r="BS79" i="14" s="1"/>
  <c r="BH79" i="14"/>
  <c r="BG79" i="14"/>
  <c r="BQ79" i="14" s="1"/>
  <c r="BF79" i="14"/>
  <c r="AR79" i="14"/>
  <c r="AW79" i="14" s="1"/>
  <c r="AO79" i="14"/>
  <c r="AT79" i="14" s="1"/>
  <c r="Z79" i="14"/>
  <c r="R79" i="14"/>
  <c r="J79" i="14"/>
  <c r="BR78" i="14"/>
  <c r="BG78" i="14"/>
  <c r="BB78" i="14"/>
  <c r="BI78" i="14" s="1"/>
  <c r="BA78" i="14"/>
  <c r="AZ78" i="14"/>
  <c r="AY78" i="14"/>
  <c r="BH78" i="14" s="1"/>
  <c r="BM78" i="14" s="1"/>
  <c r="J78" i="14"/>
  <c r="BM77" i="14"/>
  <c r="BG77" i="14"/>
  <c r="BL77" i="14" s="1"/>
  <c r="BB77" i="14"/>
  <c r="BI77" i="14" s="1"/>
  <c r="BN77" i="14" s="1"/>
  <c r="BA77" i="14"/>
  <c r="AZ77" i="14"/>
  <c r="AY77" i="14"/>
  <c r="BH77" i="14" s="1"/>
  <c r="J77" i="14"/>
  <c r="BI76" i="14"/>
  <c r="BN76" i="14" s="1"/>
  <c r="BG76" i="14"/>
  <c r="BB76" i="14"/>
  <c r="BA76" i="14"/>
  <c r="AZ76" i="14"/>
  <c r="AY76" i="14"/>
  <c r="BH76" i="14" s="1"/>
  <c r="J76" i="14"/>
  <c r="BM75" i="14"/>
  <c r="BG75" i="14"/>
  <c r="BL75" i="14" s="1"/>
  <c r="BB75" i="14"/>
  <c r="BI75" i="14" s="1"/>
  <c r="BN75" i="14" s="1"/>
  <c r="BA75" i="14"/>
  <c r="AZ75" i="14"/>
  <c r="AY75" i="14"/>
  <c r="BH75" i="14" s="1"/>
  <c r="J75" i="14"/>
  <c r="BI74" i="14"/>
  <c r="BN74" i="14" s="1"/>
  <c r="BG74" i="14"/>
  <c r="BB74" i="14"/>
  <c r="BA74" i="14"/>
  <c r="AZ74" i="14"/>
  <c r="AY74" i="14"/>
  <c r="BH74" i="14" s="1"/>
  <c r="J74" i="14"/>
  <c r="BS73" i="14"/>
  <c r="BM73" i="14"/>
  <c r="BR73" i="14" s="1"/>
  <c r="BK73" i="14"/>
  <c r="BO73" i="14" s="1"/>
  <c r="BI73" i="14"/>
  <c r="BN73" i="14" s="1"/>
  <c r="BH73" i="14"/>
  <c r="BG73" i="14"/>
  <c r="BL73" i="14" s="1"/>
  <c r="BF73" i="14"/>
  <c r="BP73" i="14" s="1"/>
  <c r="J73" i="14"/>
  <c r="BS72" i="14"/>
  <c r="BM72" i="14"/>
  <c r="BG72" i="14"/>
  <c r="BL72" i="14" s="1"/>
  <c r="BB72" i="14"/>
  <c r="BI72" i="14" s="1"/>
  <c r="BN72" i="14" s="1"/>
  <c r="BA72" i="14"/>
  <c r="AZ72" i="14"/>
  <c r="AY72" i="14"/>
  <c r="BH72" i="14" s="1"/>
  <c r="S72" i="14"/>
  <c r="U72" i="14" s="1"/>
  <c r="V72" i="14" s="1"/>
  <c r="L72" i="14"/>
  <c r="R72" i="14" s="1"/>
  <c r="J72" i="14"/>
  <c r="T72" i="14" s="1"/>
  <c r="BB71" i="14"/>
  <c r="BA71" i="14"/>
  <c r="AZ71" i="14"/>
  <c r="AY71" i="14"/>
  <c r="R71" i="14"/>
  <c r="J71" i="14"/>
  <c r="BR70" i="14"/>
  <c r="BP70" i="14"/>
  <c r="BT70" i="14" s="1"/>
  <c r="BN70" i="14"/>
  <c r="BS70" i="14" s="1"/>
  <c r="BL70" i="14"/>
  <c r="BI70" i="14"/>
  <c r="BH70" i="14"/>
  <c r="BM70" i="14" s="1"/>
  <c r="BG70" i="14"/>
  <c r="BQ70" i="14" s="1"/>
  <c r="BF70" i="14"/>
  <c r="BK70" i="14" s="1"/>
  <c r="BO70" i="14" s="1"/>
  <c r="AW70" i="14"/>
  <c r="AR70" i="14"/>
  <c r="AO70" i="14"/>
  <c r="AT70" i="14" s="1"/>
  <c r="Z70" i="14"/>
  <c r="R70" i="14"/>
  <c r="T70" i="14" s="1"/>
  <c r="J70" i="14"/>
  <c r="BR69" i="14"/>
  <c r="BP69" i="14"/>
  <c r="BT69" i="14" s="1"/>
  <c r="BN69" i="14"/>
  <c r="BL69" i="14"/>
  <c r="BQ69" i="14" s="1"/>
  <c r="BI69" i="14"/>
  <c r="BS69" i="14" s="1"/>
  <c r="BH69" i="14"/>
  <c r="BM69" i="14" s="1"/>
  <c r="BG69" i="14"/>
  <c r="BF69" i="14"/>
  <c r="BK69" i="14" s="1"/>
  <c r="BO69" i="14" s="1"/>
  <c r="AW69" i="14"/>
  <c r="AR69" i="14"/>
  <c r="AO69" i="14"/>
  <c r="AT69" i="14" s="1"/>
  <c r="Z69" i="14"/>
  <c r="R69" i="14"/>
  <c r="J69" i="14"/>
  <c r="BR68" i="14"/>
  <c r="BP68" i="14"/>
  <c r="BT68" i="14" s="1"/>
  <c r="BN68" i="14"/>
  <c r="BS68" i="14" s="1"/>
  <c r="BL68" i="14"/>
  <c r="BI68" i="14"/>
  <c r="BH68" i="14"/>
  <c r="BM68" i="14" s="1"/>
  <c r="BG68" i="14"/>
  <c r="BQ68" i="14" s="1"/>
  <c r="BF68" i="14"/>
  <c r="BK68" i="14" s="1"/>
  <c r="BO68" i="14" s="1"/>
  <c r="AW68" i="14"/>
  <c r="AR68" i="14"/>
  <c r="AO68" i="14"/>
  <c r="AT68" i="14" s="1"/>
  <c r="Z68" i="14"/>
  <c r="R68" i="14"/>
  <c r="T68" i="14" s="1"/>
  <c r="J68" i="14"/>
  <c r="BR67" i="14"/>
  <c r="BP67" i="14"/>
  <c r="BT67" i="14" s="1"/>
  <c r="BN67" i="14"/>
  <c r="BL67" i="14"/>
  <c r="BQ67" i="14" s="1"/>
  <c r="BI67" i="14"/>
  <c r="BS67" i="14" s="1"/>
  <c r="BH67" i="14"/>
  <c r="BM67" i="14" s="1"/>
  <c r="BG67" i="14"/>
  <c r="BF67" i="14"/>
  <c r="BK67" i="14" s="1"/>
  <c r="BO67" i="14" s="1"/>
  <c r="AW67" i="14"/>
  <c r="AR67" i="14"/>
  <c r="AO67" i="14"/>
  <c r="AT67" i="14" s="1"/>
  <c r="Z67" i="14"/>
  <c r="T67" i="14"/>
  <c r="R67" i="14"/>
  <c r="S67" i="14" s="1"/>
  <c r="J67" i="14"/>
  <c r="BN66" i="14"/>
  <c r="BS66" i="14" s="1"/>
  <c r="BI66" i="14"/>
  <c r="BH66" i="14"/>
  <c r="BM66" i="14" s="1"/>
  <c r="BG66" i="14"/>
  <c r="BF66" i="14"/>
  <c r="AR66" i="14"/>
  <c r="AW66" i="14" s="1"/>
  <c r="AO66" i="14"/>
  <c r="AT66" i="14" s="1"/>
  <c r="Z66" i="14"/>
  <c r="J66" i="14"/>
  <c r="BM65" i="14"/>
  <c r="BL65" i="14"/>
  <c r="BQ65" i="14" s="1"/>
  <c r="BI65" i="14"/>
  <c r="BH65" i="14"/>
  <c r="BR65" i="14" s="1"/>
  <c r="BG65" i="14"/>
  <c r="BF65" i="14"/>
  <c r="BK65" i="14" s="1"/>
  <c r="AW65" i="14"/>
  <c r="AR65" i="14"/>
  <c r="AO65" i="14"/>
  <c r="AT65" i="14" s="1"/>
  <c r="Z65" i="14"/>
  <c r="R65" i="14"/>
  <c r="J65" i="14"/>
  <c r="BN64" i="14"/>
  <c r="BS64" i="14" s="1"/>
  <c r="BL64" i="14"/>
  <c r="BI64" i="14"/>
  <c r="BH64" i="14"/>
  <c r="BM64" i="14" s="1"/>
  <c r="BG64" i="14"/>
  <c r="BF64" i="14"/>
  <c r="AR64" i="14"/>
  <c r="AW64" i="14" s="1"/>
  <c r="AO64" i="14"/>
  <c r="AT64" i="14" s="1"/>
  <c r="Z64" i="14"/>
  <c r="J64" i="14"/>
  <c r="BL63" i="14"/>
  <c r="BQ63" i="14" s="1"/>
  <c r="BI63" i="14"/>
  <c r="BH63" i="14"/>
  <c r="BG63" i="14"/>
  <c r="BF63" i="14"/>
  <c r="BK63" i="14" s="1"/>
  <c r="AW63" i="14"/>
  <c r="AR63" i="14"/>
  <c r="AO63" i="14"/>
  <c r="AT63" i="14" s="1"/>
  <c r="Z63" i="14"/>
  <c r="R63" i="14"/>
  <c r="J63" i="14"/>
  <c r="BN62" i="14"/>
  <c r="BS62" i="14" s="1"/>
  <c r="BI62" i="14"/>
  <c r="BH62" i="14"/>
  <c r="BM62" i="14" s="1"/>
  <c r="BR62" i="14" s="1"/>
  <c r="BG62" i="14"/>
  <c r="BF62" i="14"/>
  <c r="AR62" i="14"/>
  <c r="AW62" i="14" s="1"/>
  <c r="AO62" i="14"/>
  <c r="AT62" i="14" s="1"/>
  <c r="Z62" i="14"/>
  <c r="J62" i="14"/>
  <c r="BL61" i="14"/>
  <c r="BQ61" i="14" s="1"/>
  <c r="BI61" i="14"/>
  <c r="BH61" i="14"/>
  <c r="BG61" i="14"/>
  <c r="BF61" i="14"/>
  <c r="BK61" i="14" s="1"/>
  <c r="AW61" i="14"/>
  <c r="AR61" i="14"/>
  <c r="AO61" i="14"/>
  <c r="AT61" i="14" s="1"/>
  <c r="Z61" i="14"/>
  <c r="R61" i="14"/>
  <c r="J61" i="14"/>
  <c r="BN60" i="14"/>
  <c r="BS60" i="14" s="1"/>
  <c r="BI60" i="14"/>
  <c r="BH60" i="14"/>
  <c r="BM60" i="14" s="1"/>
  <c r="BR60" i="14" s="1"/>
  <c r="BG60" i="14"/>
  <c r="BF60" i="14"/>
  <c r="AR60" i="14"/>
  <c r="AW60" i="14" s="1"/>
  <c r="AO60" i="14"/>
  <c r="AT60" i="14" s="1"/>
  <c r="Z60" i="14"/>
  <c r="J60" i="14"/>
  <c r="BL59" i="14"/>
  <c r="BQ59" i="14" s="1"/>
  <c r="BI59" i="14"/>
  <c r="BH59" i="14"/>
  <c r="BG59" i="14"/>
  <c r="BF59" i="14"/>
  <c r="BK59" i="14" s="1"/>
  <c r="AW59" i="14"/>
  <c r="AR59" i="14"/>
  <c r="AO59" i="14"/>
  <c r="AT59" i="14" s="1"/>
  <c r="Z59" i="14"/>
  <c r="R59" i="14"/>
  <c r="J59" i="14"/>
  <c r="BN58" i="14"/>
  <c r="BS58" i="14" s="1"/>
  <c r="BI58" i="14"/>
  <c r="BH58" i="14"/>
  <c r="BM58" i="14" s="1"/>
  <c r="BR58" i="14" s="1"/>
  <c r="BG58" i="14"/>
  <c r="BF58" i="14"/>
  <c r="AR58" i="14"/>
  <c r="AW58" i="14" s="1"/>
  <c r="AO58" i="14"/>
  <c r="AT58" i="14" s="1"/>
  <c r="Z58" i="14"/>
  <c r="J58" i="14"/>
  <c r="BL57" i="14"/>
  <c r="BQ57" i="14" s="1"/>
  <c r="BI57" i="14"/>
  <c r="BH57" i="14"/>
  <c r="BG57" i="14"/>
  <c r="BF57" i="14"/>
  <c r="BK57" i="14" s="1"/>
  <c r="AW57" i="14"/>
  <c r="AR57" i="14"/>
  <c r="AO57" i="14"/>
  <c r="AT57" i="14" s="1"/>
  <c r="Z57" i="14"/>
  <c r="R57" i="14"/>
  <c r="J57" i="14"/>
  <c r="BB56" i="14"/>
  <c r="BA56" i="14"/>
  <c r="AZ56" i="14"/>
  <c r="AY56" i="14"/>
  <c r="R56" i="14"/>
  <c r="J56" i="14"/>
  <c r="BR55" i="14"/>
  <c r="BN55" i="14"/>
  <c r="BS55" i="14" s="1"/>
  <c r="BI55" i="14"/>
  <c r="BH55" i="14"/>
  <c r="BM55" i="14" s="1"/>
  <c r="BG55" i="14"/>
  <c r="BF55" i="14"/>
  <c r="J55" i="14"/>
  <c r="BM54" i="14"/>
  <c r="BR54" i="14" s="1"/>
  <c r="BI54" i="14"/>
  <c r="BH54" i="14"/>
  <c r="BG54" i="14"/>
  <c r="BL54" i="14" s="1"/>
  <c r="BQ54" i="14" s="1"/>
  <c r="BF54" i="14"/>
  <c r="AT54" i="14"/>
  <c r="AR54" i="14"/>
  <c r="AW54" i="14" s="1"/>
  <c r="AO54" i="14"/>
  <c r="Z54" i="14"/>
  <c r="J54" i="14"/>
  <c r="R54" i="14" s="1"/>
  <c r="BK53" i="14"/>
  <c r="BP53" i="14" s="1"/>
  <c r="BI53" i="14"/>
  <c r="BN53" i="14" s="1"/>
  <c r="BS53" i="14" s="1"/>
  <c r="BH53" i="14"/>
  <c r="BG53" i="14"/>
  <c r="BF53" i="14"/>
  <c r="BJ53" i="14" s="1"/>
  <c r="AR53" i="14"/>
  <c r="AW53" i="14" s="1"/>
  <c r="AO53" i="14"/>
  <c r="AT53" i="14" s="1"/>
  <c r="Z53" i="14"/>
  <c r="J53" i="14"/>
  <c r="BM52" i="14"/>
  <c r="BR52" i="14" s="1"/>
  <c r="BI52" i="14"/>
  <c r="BH52" i="14"/>
  <c r="BG52" i="14"/>
  <c r="BL52" i="14" s="1"/>
  <c r="BQ52" i="14" s="1"/>
  <c r="BF52" i="14"/>
  <c r="AT52" i="14"/>
  <c r="AR52" i="14"/>
  <c r="AW52" i="14" s="1"/>
  <c r="AO52" i="14"/>
  <c r="Z52" i="14"/>
  <c r="J52" i="14"/>
  <c r="R52" i="14" s="1"/>
  <c r="BP51" i="14"/>
  <c r="BK51" i="14"/>
  <c r="BI51" i="14"/>
  <c r="BN51" i="14" s="1"/>
  <c r="BS51" i="14" s="1"/>
  <c r="BH51" i="14"/>
  <c r="BG51" i="14"/>
  <c r="BF51" i="14"/>
  <c r="AW51" i="14"/>
  <c r="AR51" i="14"/>
  <c r="AO51" i="14"/>
  <c r="AT51" i="14" s="1"/>
  <c r="Z51" i="14"/>
  <c r="J51" i="14"/>
  <c r="BR50" i="14"/>
  <c r="BN50" i="14"/>
  <c r="BM50" i="14"/>
  <c r="BI50" i="14"/>
  <c r="BH50" i="14"/>
  <c r="BG50" i="14"/>
  <c r="BL50" i="14" s="1"/>
  <c r="BQ50" i="14" s="1"/>
  <c r="BF50" i="14"/>
  <c r="J50" i="14"/>
  <c r="BQ49" i="14"/>
  <c r="BL49" i="14"/>
  <c r="BI49" i="14"/>
  <c r="BB49" i="14"/>
  <c r="BA49" i="14"/>
  <c r="BH49" i="14" s="1"/>
  <c r="AZ49" i="14"/>
  <c r="AY49" i="14"/>
  <c r="BG49" i="14" s="1"/>
  <c r="J49" i="14"/>
  <c r="BM48" i="14"/>
  <c r="BH48" i="14"/>
  <c r="BB48" i="14"/>
  <c r="BI48" i="14" s="1"/>
  <c r="BA48" i="14"/>
  <c r="AZ48" i="14"/>
  <c r="AY48" i="14"/>
  <c r="BG48" i="14" s="1"/>
  <c r="BL48" i="14" s="1"/>
  <c r="J48" i="14"/>
  <c r="BQ47" i="14"/>
  <c r="BL47" i="14"/>
  <c r="BI47" i="14"/>
  <c r="BB47" i="14"/>
  <c r="BA47" i="14"/>
  <c r="BH47" i="14" s="1"/>
  <c r="AZ47" i="14"/>
  <c r="AY47" i="14"/>
  <c r="BG47" i="14" s="1"/>
  <c r="J47" i="14"/>
  <c r="BM46" i="14"/>
  <c r="BH46" i="14"/>
  <c r="BB46" i="14"/>
  <c r="BI46" i="14" s="1"/>
  <c r="BA46" i="14"/>
  <c r="AZ46" i="14"/>
  <c r="AY46" i="14"/>
  <c r="BG46" i="14" s="1"/>
  <c r="BL46" i="14" s="1"/>
  <c r="J46" i="14"/>
  <c r="BN45" i="14"/>
  <c r="BL45" i="14"/>
  <c r="BQ45" i="14" s="1"/>
  <c r="BI45" i="14"/>
  <c r="BH45" i="14"/>
  <c r="BG45" i="14"/>
  <c r="BF45" i="14"/>
  <c r="BK45" i="14" s="1"/>
  <c r="AW45" i="14"/>
  <c r="AR45" i="14"/>
  <c r="AO45" i="14"/>
  <c r="AT45" i="14" s="1"/>
  <c r="R45" i="14"/>
  <c r="J45" i="14"/>
  <c r="BB44" i="14"/>
  <c r="BA44" i="14"/>
  <c r="AZ44" i="14"/>
  <c r="AY44" i="14"/>
  <c r="J44" i="14"/>
  <c r="BI43" i="14"/>
  <c r="BG43" i="14"/>
  <c r="BB43" i="14"/>
  <c r="BA43" i="14"/>
  <c r="AZ43" i="14"/>
  <c r="AY43" i="14"/>
  <c r="R43" i="14"/>
  <c r="J43" i="14"/>
  <c r="BN42" i="14"/>
  <c r="BS42" i="14" s="1"/>
  <c r="BI42" i="14"/>
  <c r="BH42" i="14"/>
  <c r="BM42" i="14" s="1"/>
  <c r="BR42" i="14" s="1"/>
  <c r="BG42" i="14"/>
  <c r="BF42" i="14"/>
  <c r="AR42" i="14"/>
  <c r="AW42" i="14" s="1"/>
  <c r="AO42" i="14"/>
  <c r="AT42" i="14" s="1"/>
  <c r="Z42" i="14"/>
  <c r="J42" i="14"/>
  <c r="BL41" i="14"/>
  <c r="BB41" i="14"/>
  <c r="BI41" i="14" s="1"/>
  <c r="BA41" i="14"/>
  <c r="BH41" i="14" s="1"/>
  <c r="AZ41" i="14"/>
  <c r="AY41" i="14"/>
  <c r="BG41" i="14" s="1"/>
  <c r="Z41" i="14"/>
  <c r="J41" i="14"/>
  <c r="BM40" i="14"/>
  <c r="BR40" i="14" s="1"/>
  <c r="BI40" i="14"/>
  <c r="BH40" i="14"/>
  <c r="BG40" i="14"/>
  <c r="BL40" i="14" s="1"/>
  <c r="BQ40" i="14" s="1"/>
  <c r="BF40" i="14"/>
  <c r="Z40" i="14"/>
  <c r="S40" i="14"/>
  <c r="J40" i="14"/>
  <c r="R40" i="14" s="1"/>
  <c r="T40" i="14" s="1"/>
  <c r="BG39" i="14"/>
  <c r="BB39" i="14"/>
  <c r="BI39" i="14" s="1"/>
  <c r="BN39" i="14" s="1"/>
  <c r="BA39" i="14"/>
  <c r="BH39" i="14" s="1"/>
  <c r="AZ39" i="14"/>
  <c r="AY39" i="14"/>
  <c r="S39" i="14"/>
  <c r="J39" i="14"/>
  <c r="R39" i="14" s="1"/>
  <c r="T39" i="14" s="1"/>
  <c r="BS38" i="14"/>
  <c r="BK38" i="14"/>
  <c r="BP38" i="14" s="1"/>
  <c r="BI38" i="14"/>
  <c r="BN38" i="14" s="1"/>
  <c r="BH38" i="14"/>
  <c r="BG38" i="14"/>
  <c r="BF38" i="14"/>
  <c r="Z38" i="14"/>
  <c r="J38" i="14"/>
  <c r="BM37" i="14"/>
  <c r="BI37" i="14"/>
  <c r="BB37" i="14"/>
  <c r="BA37" i="14"/>
  <c r="AZ37" i="14"/>
  <c r="AY37" i="14"/>
  <c r="BH37" i="14" s="1"/>
  <c r="Z37" i="14"/>
  <c r="R37" i="14"/>
  <c r="J37" i="14"/>
  <c r="BR36" i="14"/>
  <c r="BN36" i="14"/>
  <c r="BS36" i="14" s="1"/>
  <c r="BI36" i="14"/>
  <c r="BH36" i="14"/>
  <c r="BM36" i="14" s="1"/>
  <c r="BG36" i="14"/>
  <c r="BF36" i="14"/>
  <c r="Z36" i="14"/>
  <c r="J36" i="14"/>
  <c r="BP35" i="14"/>
  <c r="BL35" i="14"/>
  <c r="BQ35" i="14" s="1"/>
  <c r="BI35" i="14"/>
  <c r="BH35" i="14"/>
  <c r="BG35" i="14"/>
  <c r="BF35" i="14"/>
  <c r="BK35" i="14" s="1"/>
  <c r="AW35" i="14"/>
  <c r="AR35" i="14"/>
  <c r="AO35" i="14"/>
  <c r="AT35" i="14" s="1"/>
  <c r="Z35" i="14"/>
  <c r="J35" i="14"/>
  <c r="BS34" i="14"/>
  <c r="BK34" i="14"/>
  <c r="BP34" i="14" s="1"/>
  <c r="BI34" i="14"/>
  <c r="BN34" i="14" s="1"/>
  <c r="BH34" i="14"/>
  <c r="BG34" i="14"/>
  <c r="BF34" i="14"/>
  <c r="AR34" i="14"/>
  <c r="AW34" i="14" s="1"/>
  <c r="AO34" i="14"/>
  <c r="AT34" i="14" s="1"/>
  <c r="Z34" i="14"/>
  <c r="L34" i="14"/>
  <c r="J34" i="14"/>
  <c r="BN33" i="14"/>
  <c r="BS33" i="14" s="1"/>
  <c r="BI33" i="14"/>
  <c r="BH33" i="14"/>
  <c r="BM33" i="14" s="1"/>
  <c r="BR33" i="14" s="1"/>
  <c r="BG33" i="14"/>
  <c r="BF33" i="14"/>
  <c r="AR33" i="14"/>
  <c r="AW33" i="14" s="1"/>
  <c r="AO33" i="14"/>
  <c r="AT33" i="14" s="1"/>
  <c r="Z33" i="14"/>
  <c r="J33" i="14"/>
  <c r="BM32" i="14"/>
  <c r="BI32" i="14"/>
  <c r="BB32" i="14"/>
  <c r="BA32" i="14"/>
  <c r="AZ32" i="14"/>
  <c r="AY32" i="14"/>
  <c r="BH32" i="14" s="1"/>
  <c r="AR32" i="14"/>
  <c r="AW32" i="14" s="1"/>
  <c r="J32" i="14"/>
  <c r="BI31" i="14"/>
  <c r="BB31" i="14"/>
  <c r="BA31" i="14"/>
  <c r="AZ31" i="14"/>
  <c r="AY31" i="14"/>
  <c r="BH31" i="14" s="1"/>
  <c r="Z31" i="14"/>
  <c r="S31" i="14"/>
  <c r="J31" i="14"/>
  <c r="R31" i="14" s="1"/>
  <c r="T31" i="14" s="1"/>
  <c r="BS30" i="14"/>
  <c r="BK30" i="14"/>
  <c r="BP30" i="14" s="1"/>
  <c r="BI30" i="14"/>
  <c r="BN30" i="14" s="1"/>
  <c r="BH30" i="14"/>
  <c r="BG30" i="14"/>
  <c r="BF30" i="14"/>
  <c r="AR30" i="14"/>
  <c r="AW30" i="14" s="1"/>
  <c r="AO30" i="14"/>
  <c r="AT30" i="14" s="1"/>
  <c r="Z30" i="14"/>
  <c r="L30" i="14"/>
  <c r="J30" i="14"/>
  <c r="BB29" i="14"/>
  <c r="BA29" i="14"/>
  <c r="AZ29" i="14"/>
  <c r="AY29" i="14"/>
  <c r="AR29" i="14"/>
  <c r="AW29" i="14" s="1"/>
  <c r="L29" i="14"/>
  <c r="J29" i="14"/>
  <c r="BB28" i="14"/>
  <c r="BA28" i="14"/>
  <c r="AZ28" i="14"/>
  <c r="AY28" i="14"/>
  <c r="AR28" i="14"/>
  <c r="AW28" i="14" s="1"/>
  <c r="L28" i="14"/>
  <c r="J28" i="14"/>
  <c r="BN27" i="14"/>
  <c r="BG27" i="14"/>
  <c r="BF27" i="14"/>
  <c r="BB27" i="14"/>
  <c r="BA27" i="14"/>
  <c r="AZ27" i="14"/>
  <c r="AY27" i="14"/>
  <c r="BI27" i="14" s="1"/>
  <c r="AR27" i="14"/>
  <c r="J27" i="14"/>
  <c r="BG26" i="14"/>
  <c r="BE26" i="14"/>
  <c r="BE85" i="14" s="1"/>
  <c r="BB26" i="14"/>
  <c r="BA26" i="14"/>
  <c r="AZ26" i="14"/>
  <c r="AY26" i="14"/>
  <c r="Z26" i="14"/>
  <c r="J26" i="14"/>
  <c r="BE25" i="14"/>
  <c r="BE104" i="14" s="1"/>
  <c r="BD25" i="14"/>
  <c r="BD104" i="14" s="1"/>
  <c r="BC25" i="14"/>
  <c r="BB25" i="14"/>
  <c r="P25" i="14"/>
  <c r="P104" i="14" s="1"/>
  <c r="E25" i="14"/>
  <c r="E104" i="14" s="1"/>
  <c r="BL24" i="14"/>
  <c r="BG24" i="14"/>
  <c r="BB24" i="14"/>
  <c r="BI24" i="14" s="1"/>
  <c r="BA24" i="14"/>
  <c r="BH24" i="14" s="1"/>
  <c r="AZ24" i="14"/>
  <c r="AY24" i="14"/>
  <c r="BF24" i="14" s="1"/>
  <c r="Z24" i="14"/>
  <c r="J24" i="14"/>
  <c r="BM23" i="14"/>
  <c r="BL23" i="14"/>
  <c r="BQ23" i="14" s="1"/>
  <c r="BI23" i="14"/>
  <c r="BH23" i="14"/>
  <c r="BG23" i="14"/>
  <c r="BF23" i="14"/>
  <c r="BK23" i="14" s="1"/>
  <c r="J23" i="14"/>
  <c r="BM22" i="14"/>
  <c r="BL22" i="14"/>
  <c r="BQ22" i="14" s="1"/>
  <c r="BI22" i="14"/>
  <c r="BH22" i="14"/>
  <c r="BG22" i="14"/>
  <c r="BF22" i="14"/>
  <c r="BK22" i="14" s="1"/>
  <c r="AN22" i="14"/>
  <c r="AR22" i="14" s="1"/>
  <c r="AM22" i="14"/>
  <c r="AL22" i="14"/>
  <c r="AK22" i="14"/>
  <c r="AJ22" i="14"/>
  <c r="AI22" i="14"/>
  <c r="AH22" i="14"/>
  <c r="AG22" i="14"/>
  <c r="AF22" i="14"/>
  <c r="AP22" i="14" s="1"/>
  <c r="AE22" i="14"/>
  <c r="AD22" i="14"/>
  <c r="AC22" i="14"/>
  <c r="AO22" i="14" s="1"/>
  <c r="BL21" i="14"/>
  <c r="BQ21" i="14" s="1"/>
  <c r="BB21" i="14"/>
  <c r="BI21" i="14" s="1"/>
  <c r="BA21" i="14"/>
  <c r="BH21" i="14" s="1"/>
  <c r="AZ21" i="14"/>
  <c r="AY21" i="14"/>
  <c r="BG21" i="14" s="1"/>
  <c r="Z21" i="14"/>
  <c r="J21" i="14"/>
  <c r="BB20" i="14"/>
  <c r="BI20" i="14" s="1"/>
  <c r="BA20" i="14"/>
  <c r="AZ20" i="14"/>
  <c r="AY20" i="14"/>
  <c r="Z20" i="14"/>
  <c r="J20" i="14"/>
  <c r="BQ19" i="14"/>
  <c r="BL19" i="14"/>
  <c r="BI19" i="14"/>
  <c r="BH19" i="14"/>
  <c r="BM19" i="14" s="1"/>
  <c r="BG19" i="14"/>
  <c r="BF19" i="14"/>
  <c r="BK19" i="14" s="1"/>
  <c r="Z19" i="14"/>
  <c r="J19" i="14"/>
  <c r="BM18" i="14"/>
  <c r="BR18" i="14" s="1"/>
  <c r="BI18" i="14"/>
  <c r="BH18" i="14"/>
  <c r="BG18" i="14"/>
  <c r="BL18" i="14" s="1"/>
  <c r="BF18" i="14"/>
  <c r="Z18" i="14"/>
  <c r="T18" i="14"/>
  <c r="S18" i="14"/>
  <c r="R18" i="14"/>
  <c r="J18" i="14"/>
  <c r="U18" i="14" s="1"/>
  <c r="V18" i="14" s="1"/>
  <c r="BS17" i="14"/>
  <c r="BN17" i="14"/>
  <c r="BK17" i="14"/>
  <c r="BP17" i="14" s="1"/>
  <c r="BI17" i="14"/>
  <c r="BH17" i="14"/>
  <c r="BG17" i="14"/>
  <c r="BF17" i="14"/>
  <c r="AN17" i="14"/>
  <c r="AM17" i="14"/>
  <c r="AR17" i="14" s="1"/>
  <c r="AL17" i="14"/>
  <c r="AK17" i="14"/>
  <c r="AJ17" i="14"/>
  <c r="AI17" i="14"/>
  <c r="AQ17" i="14" s="1"/>
  <c r="AH17" i="14"/>
  <c r="AG17" i="14"/>
  <c r="AF17" i="14"/>
  <c r="AP17" i="14" s="1"/>
  <c r="AE17" i="14"/>
  <c r="AD17" i="14"/>
  <c r="AC17" i="14"/>
  <c r="BG16" i="14"/>
  <c r="BB16" i="14"/>
  <c r="BA16" i="14"/>
  <c r="BH16" i="14" s="1"/>
  <c r="AZ16" i="14"/>
  <c r="AY16" i="14"/>
  <c r="Z16" i="14"/>
  <c r="J16" i="14"/>
  <c r="BL15" i="14"/>
  <c r="BQ15" i="14" s="1"/>
  <c r="BH15" i="14"/>
  <c r="BG15" i="14"/>
  <c r="BB15" i="14"/>
  <c r="BI15" i="14" s="1"/>
  <c r="BA15" i="14"/>
  <c r="AZ15" i="14"/>
  <c r="AY15" i="14"/>
  <c r="BF15" i="14" s="1"/>
  <c r="Z15" i="14"/>
  <c r="J15" i="14"/>
  <c r="BQ14" i="14"/>
  <c r="BM14" i="14"/>
  <c r="BR14" i="14" s="1"/>
  <c r="BL14" i="14"/>
  <c r="BI14" i="14"/>
  <c r="BH14" i="14"/>
  <c r="BG14" i="14"/>
  <c r="BF14" i="14"/>
  <c r="Z14" i="14"/>
  <c r="T14" i="14"/>
  <c r="S14" i="14"/>
  <c r="R14" i="14"/>
  <c r="J14" i="14"/>
  <c r="U14" i="14" s="1"/>
  <c r="V14" i="14" s="1"/>
  <c r="W14" i="14" s="1"/>
  <c r="BG13" i="14"/>
  <c r="BB13" i="14"/>
  <c r="BA13" i="14"/>
  <c r="BH13" i="14" s="1"/>
  <c r="AZ13" i="14"/>
  <c r="AY13" i="14"/>
  <c r="BF13" i="14" s="1"/>
  <c r="Z13" i="14"/>
  <c r="J13" i="14"/>
  <c r="BL12" i="14"/>
  <c r="BQ12" i="14" s="1"/>
  <c r="BG12" i="14"/>
  <c r="BB12" i="14"/>
  <c r="BI12" i="14" s="1"/>
  <c r="BA12" i="14"/>
  <c r="BH12" i="14" s="1"/>
  <c r="AZ12" i="14"/>
  <c r="AY12" i="14"/>
  <c r="BF12" i="14" s="1"/>
  <c r="Z12" i="14"/>
  <c r="J12" i="14"/>
  <c r="BM11" i="14"/>
  <c r="BB11" i="14"/>
  <c r="BI11" i="14" s="1"/>
  <c r="BA11" i="14"/>
  <c r="AZ11" i="14"/>
  <c r="AY11" i="14"/>
  <c r="BH11" i="14" s="1"/>
  <c r="Z11" i="14"/>
  <c r="R11" i="14"/>
  <c r="S11" i="14" s="1"/>
  <c r="J11" i="14"/>
  <c r="BB10" i="14"/>
  <c r="BA10" i="14"/>
  <c r="AZ10" i="14"/>
  <c r="AY10" i="14"/>
  <c r="Z10" i="14"/>
  <c r="T10" i="14"/>
  <c r="S10" i="14"/>
  <c r="R10" i="14"/>
  <c r="J10" i="14"/>
  <c r="BG9" i="14"/>
  <c r="BB9" i="14"/>
  <c r="BA9" i="14"/>
  <c r="BH9" i="14" s="1"/>
  <c r="AZ9" i="14"/>
  <c r="AY9" i="14"/>
  <c r="Z9" i="14"/>
  <c r="J9" i="14"/>
  <c r="BL8" i="14"/>
  <c r="BQ8" i="14" s="1"/>
  <c r="BH8" i="14"/>
  <c r="BG8" i="14"/>
  <c r="BB8" i="14"/>
  <c r="BI8" i="14" s="1"/>
  <c r="BA8" i="14"/>
  <c r="AZ8" i="14"/>
  <c r="AY8" i="14"/>
  <c r="BF8" i="14" s="1"/>
  <c r="Z8" i="14"/>
  <c r="J8" i="14"/>
  <c r="BI7" i="14"/>
  <c r="BB7" i="14"/>
  <c r="BA7" i="14"/>
  <c r="AZ7" i="14"/>
  <c r="AY7" i="14"/>
  <c r="Z7" i="14"/>
  <c r="J7" i="14"/>
  <c r="I7" i="14"/>
  <c r="BD6" i="14"/>
  <c r="BC6" i="14"/>
  <c r="BB6" i="14"/>
  <c r="BA6" i="14"/>
  <c r="AZ6" i="14"/>
  <c r="AY6" i="14"/>
  <c r="I9" i="13"/>
  <c r="H9" i="13"/>
  <c r="G9" i="13"/>
  <c r="F9" i="13"/>
  <c r="E9" i="13"/>
  <c r="E6" i="13"/>
  <c r="E5" i="13"/>
  <c r="Z31" i="12"/>
  <c r="U23" i="12"/>
  <c r="R23" i="12"/>
  <c r="R22" i="12"/>
  <c r="U22" i="12" s="1"/>
  <c r="U21" i="12"/>
  <c r="R21" i="12"/>
  <c r="R18" i="12"/>
  <c r="U18" i="12" s="1"/>
  <c r="R17" i="12"/>
  <c r="U16" i="12"/>
  <c r="R16" i="12"/>
  <c r="R14" i="12"/>
  <c r="U14" i="12" s="1"/>
  <c r="U12" i="12"/>
  <c r="R12" i="12"/>
  <c r="R11" i="12"/>
  <c r="U11" i="12" s="1"/>
  <c r="U10" i="12"/>
  <c r="R10" i="12"/>
  <c r="R9" i="12"/>
  <c r="U9" i="12" s="1"/>
  <c r="U8" i="12"/>
  <c r="R8" i="12"/>
  <c r="R7" i="12"/>
  <c r="U7" i="12" s="1"/>
  <c r="U28" i="12" s="1"/>
  <c r="U6" i="12"/>
  <c r="R6" i="12"/>
  <c r="A21" i="7"/>
  <c r="A16" i="7"/>
  <c r="A17" i="7" s="1"/>
  <c r="A18" i="7" s="1"/>
  <c r="A13" i="7"/>
  <c r="A14" i="7" s="1"/>
  <c r="Q371" i="4"/>
  <c r="P371" i="4"/>
  <c r="O371" i="4"/>
  <c r="N371" i="4"/>
  <c r="I371" i="4"/>
  <c r="P369" i="4"/>
  <c r="O369" i="4"/>
  <c r="H369" i="4"/>
  <c r="Q369" i="4" s="1"/>
  <c r="G369" i="4"/>
  <c r="F369" i="4"/>
  <c r="E369" i="4"/>
  <c r="N369" i="4" s="1"/>
  <c r="R367" i="4"/>
  <c r="P367" i="4"/>
  <c r="Q366" i="4"/>
  <c r="Q365" i="4" s="1"/>
  <c r="H365" i="4" s="1"/>
  <c r="P366" i="4"/>
  <c r="P365" i="4" s="1"/>
  <c r="G365" i="4" s="1"/>
  <c r="O366" i="4"/>
  <c r="N366" i="4"/>
  <c r="O365" i="4"/>
  <c r="F365" i="4" s="1"/>
  <c r="N365" i="4"/>
  <c r="E365" i="4" s="1"/>
  <c r="Q364" i="4"/>
  <c r="P364" i="4"/>
  <c r="O364" i="4"/>
  <c r="N364" i="4"/>
  <c r="R364" i="4" s="1"/>
  <c r="I364" i="4"/>
  <c r="J364" i="4" s="1"/>
  <c r="K364" i="4" s="1"/>
  <c r="R363" i="4"/>
  <c r="R362" i="4" s="1"/>
  <c r="Q362" i="4"/>
  <c r="P362" i="4"/>
  <c r="O362" i="4"/>
  <c r="N362" i="4"/>
  <c r="Q361" i="4"/>
  <c r="P361" i="4"/>
  <c r="P354" i="4" s="1"/>
  <c r="P351" i="4" s="1"/>
  <c r="O361" i="4"/>
  <c r="N361" i="4"/>
  <c r="Q360" i="4"/>
  <c r="P360" i="4"/>
  <c r="O360" i="4"/>
  <c r="N360" i="4"/>
  <c r="R360" i="4" s="1"/>
  <c r="Q359" i="4"/>
  <c r="P359" i="4"/>
  <c r="O359" i="4"/>
  <c r="N359" i="4"/>
  <c r="R359" i="4" s="1"/>
  <c r="Q358" i="4"/>
  <c r="P358" i="4"/>
  <c r="O358" i="4"/>
  <c r="O354" i="4" s="1"/>
  <c r="N358" i="4"/>
  <c r="Q357" i="4"/>
  <c r="P357" i="4"/>
  <c r="O357" i="4"/>
  <c r="N357" i="4"/>
  <c r="Q356" i="4"/>
  <c r="Q354" i="4" s="1"/>
  <c r="Q351" i="4" s="1"/>
  <c r="P356" i="4"/>
  <c r="O356" i="4"/>
  <c r="N356" i="4"/>
  <c r="N354" i="4" s="1"/>
  <c r="R355" i="4"/>
  <c r="N355" i="4"/>
  <c r="N353" i="4"/>
  <c r="Q352" i="4"/>
  <c r="P352" i="4"/>
  <c r="O352" i="4"/>
  <c r="O351" i="4" s="1"/>
  <c r="J351" i="4"/>
  <c r="K351" i="4" s="1"/>
  <c r="I351" i="4"/>
  <c r="Q348" i="4"/>
  <c r="P348" i="4"/>
  <c r="P347" i="4" s="1"/>
  <c r="O348" i="4"/>
  <c r="N348" i="4"/>
  <c r="R348" i="4" s="1"/>
  <c r="Q347" i="4"/>
  <c r="Q344" i="4" s="1"/>
  <c r="H344" i="4" s="1"/>
  <c r="O347" i="4"/>
  <c r="N347" i="4"/>
  <c r="R347" i="4" s="1"/>
  <c r="R346" i="4"/>
  <c r="P346" i="4"/>
  <c r="Q345" i="4"/>
  <c r="P345" i="4"/>
  <c r="P344" i="4" s="1"/>
  <c r="G344" i="4" s="1"/>
  <c r="O345" i="4"/>
  <c r="N345" i="4"/>
  <c r="O344" i="4"/>
  <c r="F344" i="4" s="1"/>
  <c r="N344" i="4"/>
  <c r="E344" i="4" s="1"/>
  <c r="Q343" i="4"/>
  <c r="W343" i="4" s="1"/>
  <c r="P343" i="4"/>
  <c r="V343" i="4" s="1"/>
  <c r="O343" i="4"/>
  <c r="U343" i="4" s="1"/>
  <c r="N343" i="4"/>
  <c r="O342" i="4"/>
  <c r="O341" i="4" s="1"/>
  <c r="F341" i="4" s="1"/>
  <c r="E103" i="2" s="1"/>
  <c r="Q340" i="4"/>
  <c r="Q339" i="4" s="1"/>
  <c r="Q338" i="4" s="1"/>
  <c r="H338" i="4" s="1"/>
  <c r="G102" i="2" s="1"/>
  <c r="P340" i="4"/>
  <c r="P339" i="4" s="1"/>
  <c r="P338" i="4" s="1"/>
  <c r="G338" i="4" s="1"/>
  <c r="F102" i="2" s="1"/>
  <c r="O340" i="4"/>
  <c r="O339" i="4" s="1"/>
  <c r="O338" i="4" s="1"/>
  <c r="F338" i="4" s="1"/>
  <c r="E102" i="2" s="1"/>
  <c r="N340" i="4"/>
  <c r="K338" i="4"/>
  <c r="J338" i="4"/>
  <c r="Q337" i="4"/>
  <c r="W337" i="4" s="1"/>
  <c r="P337" i="4"/>
  <c r="V337" i="4" s="1"/>
  <c r="O337" i="4"/>
  <c r="N337" i="4"/>
  <c r="T337" i="4" s="1"/>
  <c r="Q336" i="4"/>
  <c r="P336" i="4"/>
  <c r="V336" i="4" s="1"/>
  <c r="O336" i="4"/>
  <c r="U336" i="4" s="1"/>
  <c r="N336" i="4"/>
  <c r="T336" i="4" s="1"/>
  <c r="Q334" i="4"/>
  <c r="W334" i="4" s="1"/>
  <c r="P334" i="4"/>
  <c r="O334" i="4"/>
  <c r="U334" i="4" s="1"/>
  <c r="N334" i="4"/>
  <c r="T334" i="4" s="1"/>
  <c r="Q333" i="4"/>
  <c r="W333" i="4" s="1"/>
  <c r="P333" i="4"/>
  <c r="V333" i="4" s="1"/>
  <c r="O333" i="4"/>
  <c r="U333" i="4" s="1"/>
  <c r="N333" i="4"/>
  <c r="Q330" i="4"/>
  <c r="W330" i="4" s="1"/>
  <c r="P330" i="4"/>
  <c r="V330" i="4" s="1"/>
  <c r="O330" i="4"/>
  <c r="N330" i="4"/>
  <c r="Q329" i="4"/>
  <c r="W329" i="4" s="1"/>
  <c r="P329" i="4"/>
  <c r="O329" i="4"/>
  <c r="U329" i="4" s="1"/>
  <c r="N329" i="4"/>
  <c r="T329" i="4" s="1"/>
  <c r="Q328" i="4"/>
  <c r="Q327" i="4" s="1"/>
  <c r="O325" i="4"/>
  <c r="N325" i="4"/>
  <c r="P324" i="4"/>
  <c r="O324" i="4"/>
  <c r="P323" i="4"/>
  <c r="R323" i="4" s="1"/>
  <c r="Q322" i="4"/>
  <c r="O322" i="4"/>
  <c r="N322" i="4"/>
  <c r="R322" i="4" s="1"/>
  <c r="W321" i="4"/>
  <c r="V321" i="4"/>
  <c r="T321" i="4"/>
  <c r="O321" i="4"/>
  <c r="U321" i="4" s="1"/>
  <c r="Q320" i="4"/>
  <c r="P320" i="4"/>
  <c r="O320" i="4"/>
  <c r="N320" i="4"/>
  <c r="Q319" i="4"/>
  <c r="Q318" i="4" s="1"/>
  <c r="P319" i="4"/>
  <c r="P318" i="4" s="1"/>
  <c r="O319" i="4"/>
  <c r="N319" i="4"/>
  <c r="Q316" i="4"/>
  <c r="P316" i="4"/>
  <c r="O316" i="4"/>
  <c r="N316" i="4"/>
  <c r="Q315" i="4"/>
  <c r="P315" i="4"/>
  <c r="P314" i="4" s="1"/>
  <c r="P313" i="4" s="1"/>
  <c r="O315" i="4"/>
  <c r="O314" i="4" s="1"/>
  <c r="O313" i="4" s="1"/>
  <c r="N315" i="4"/>
  <c r="N314" i="4" s="1"/>
  <c r="Q306" i="4"/>
  <c r="W306" i="4" s="1"/>
  <c r="P306" i="4"/>
  <c r="V306" i="4" s="1"/>
  <c r="O306" i="4"/>
  <c r="U306" i="4" s="1"/>
  <c r="N306" i="4"/>
  <c r="T306" i="4" s="1"/>
  <c r="Q305" i="4"/>
  <c r="W305" i="4" s="1"/>
  <c r="P305" i="4"/>
  <c r="O305" i="4"/>
  <c r="U305" i="4" s="1"/>
  <c r="N305" i="4"/>
  <c r="T305" i="4" s="1"/>
  <c r="Q303" i="4"/>
  <c r="W303" i="4" s="1"/>
  <c r="P303" i="4"/>
  <c r="V303" i="4" s="1"/>
  <c r="O303" i="4"/>
  <c r="U303" i="4" s="1"/>
  <c r="N303" i="4"/>
  <c r="Q302" i="4"/>
  <c r="P302" i="4"/>
  <c r="V302" i="4" s="1"/>
  <c r="O302" i="4"/>
  <c r="U302" i="4" s="1"/>
  <c r="N302" i="4"/>
  <c r="T302" i="4" s="1"/>
  <c r="Q299" i="4"/>
  <c r="W299" i="4" s="1"/>
  <c r="P299" i="4"/>
  <c r="V299" i="4" s="1"/>
  <c r="O299" i="4"/>
  <c r="U299" i="4" s="1"/>
  <c r="N299" i="4"/>
  <c r="T299" i="4" s="1"/>
  <c r="Q298" i="4"/>
  <c r="W298" i="4" s="1"/>
  <c r="P298" i="4"/>
  <c r="V298" i="4" s="1"/>
  <c r="O298" i="4"/>
  <c r="U298" i="4" s="1"/>
  <c r="N298" i="4"/>
  <c r="Q294" i="4"/>
  <c r="W294" i="4" s="1"/>
  <c r="P294" i="4"/>
  <c r="V294" i="4" s="1"/>
  <c r="O294" i="4"/>
  <c r="U294" i="4" s="1"/>
  <c r="N294" i="4"/>
  <c r="Q293" i="4"/>
  <c r="W293" i="4" s="1"/>
  <c r="P293" i="4"/>
  <c r="P292" i="4" s="1"/>
  <c r="O293" i="4"/>
  <c r="N293" i="4"/>
  <c r="N292" i="4" s="1"/>
  <c r="Q291" i="4"/>
  <c r="W291" i="4" s="1"/>
  <c r="P291" i="4"/>
  <c r="V291" i="4" s="1"/>
  <c r="O291" i="4"/>
  <c r="U291" i="4" s="1"/>
  <c r="N291" i="4"/>
  <c r="T291" i="4" s="1"/>
  <c r="Q290" i="4"/>
  <c r="W290" i="4" s="1"/>
  <c r="P290" i="4"/>
  <c r="O290" i="4"/>
  <c r="U290" i="4" s="1"/>
  <c r="N290" i="4"/>
  <c r="T290" i="4" s="1"/>
  <c r="Q289" i="4"/>
  <c r="Q287" i="4"/>
  <c r="W287" i="4" s="1"/>
  <c r="P287" i="4"/>
  <c r="V287" i="4" s="1"/>
  <c r="O287" i="4"/>
  <c r="U287" i="4" s="1"/>
  <c r="N287" i="4"/>
  <c r="Q286" i="4"/>
  <c r="P286" i="4"/>
  <c r="V286" i="4" s="1"/>
  <c r="O286" i="4"/>
  <c r="U286" i="4" s="1"/>
  <c r="N286" i="4"/>
  <c r="T286" i="4" s="1"/>
  <c r="Q282" i="4"/>
  <c r="W282" i="4" s="1"/>
  <c r="P282" i="4"/>
  <c r="V282" i="4" s="1"/>
  <c r="O282" i="4"/>
  <c r="U282" i="4" s="1"/>
  <c r="N282" i="4"/>
  <c r="T282" i="4" s="1"/>
  <c r="Q281" i="4"/>
  <c r="W281" i="4" s="1"/>
  <c r="P281" i="4"/>
  <c r="V281" i="4" s="1"/>
  <c r="O281" i="4"/>
  <c r="O280" i="4" s="1"/>
  <c r="N281" i="4"/>
  <c r="Q279" i="4"/>
  <c r="W279" i="4" s="1"/>
  <c r="P279" i="4"/>
  <c r="V279" i="4" s="1"/>
  <c r="O279" i="4"/>
  <c r="U279" i="4" s="1"/>
  <c r="N279" i="4"/>
  <c r="Q278" i="4"/>
  <c r="W278" i="4" s="1"/>
  <c r="P278" i="4"/>
  <c r="V278" i="4" s="1"/>
  <c r="O278" i="4"/>
  <c r="N278" i="4"/>
  <c r="N277" i="4" s="1"/>
  <c r="Q275" i="4"/>
  <c r="W275" i="4" s="1"/>
  <c r="P275" i="4"/>
  <c r="V275" i="4" s="1"/>
  <c r="O275" i="4"/>
  <c r="U275" i="4" s="1"/>
  <c r="N275" i="4"/>
  <c r="T275" i="4" s="1"/>
  <c r="Q274" i="4"/>
  <c r="W274" i="4" s="1"/>
  <c r="P274" i="4"/>
  <c r="O274" i="4"/>
  <c r="U274" i="4" s="1"/>
  <c r="N274" i="4"/>
  <c r="T274" i="4" s="1"/>
  <c r="Q269" i="4"/>
  <c r="Q268" i="4" s="1"/>
  <c r="P269" i="4"/>
  <c r="O269" i="4"/>
  <c r="O268" i="4" s="1"/>
  <c r="N269" i="4"/>
  <c r="R269" i="4" s="1"/>
  <c r="R268" i="4"/>
  <c r="P268" i="4"/>
  <c r="N268" i="4"/>
  <c r="Q267" i="4"/>
  <c r="P267" i="4"/>
  <c r="O267" i="4"/>
  <c r="O265" i="4" s="1"/>
  <c r="O264" i="4" s="1"/>
  <c r="F264" i="4" s="1"/>
  <c r="N267" i="4"/>
  <c r="R267" i="4" s="1"/>
  <c r="Q266" i="4"/>
  <c r="P266" i="4"/>
  <c r="P265" i="4" s="1"/>
  <c r="P264" i="4" s="1"/>
  <c r="G264" i="4" s="1"/>
  <c r="O266" i="4"/>
  <c r="N266" i="4"/>
  <c r="Q265" i="4"/>
  <c r="R262" i="4"/>
  <c r="N261" i="4"/>
  <c r="R261" i="4" s="1"/>
  <c r="W260" i="4"/>
  <c r="V260" i="4"/>
  <c r="U260" i="4"/>
  <c r="T260" i="4"/>
  <c r="R260" i="4"/>
  <c r="R259" i="4" s="1"/>
  <c r="Q259" i="4"/>
  <c r="P259" i="4"/>
  <c r="O259" i="4"/>
  <c r="V258" i="4"/>
  <c r="Q258" i="4"/>
  <c r="W258" i="4" s="1"/>
  <c r="P258" i="4"/>
  <c r="O258" i="4"/>
  <c r="U258" i="4" s="1"/>
  <c r="N258" i="4"/>
  <c r="V257" i="4"/>
  <c r="T257" i="4"/>
  <c r="Q257" i="4"/>
  <c r="W257" i="4" s="1"/>
  <c r="P257" i="4"/>
  <c r="O257" i="4"/>
  <c r="N257" i="4"/>
  <c r="R257" i="4" s="1"/>
  <c r="P256" i="4"/>
  <c r="N256" i="4"/>
  <c r="W255" i="4"/>
  <c r="U255" i="4"/>
  <c r="Q255" i="4"/>
  <c r="P255" i="4"/>
  <c r="V255" i="4" s="1"/>
  <c r="O255" i="4"/>
  <c r="N255" i="4"/>
  <c r="W254" i="4"/>
  <c r="U254" i="4"/>
  <c r="Q254" i="4"/>
  <c r="P254" i="4"/>
  <c r="V254" i="4" s="1"/>
  <c r="O254" i="4"/>
  <c r="N254" i="4"/>
  <c r="T254" i="4" s="1"/>
  <c r="X254" i="4" s="1"/>
  <c r="W253" i="4"/>
  <c r="V253" i="4"/>
  <c r="U253" i="4"/>
  <c r="T253" i="4"/>
  <c r="R253" i="4"/>
  <c r="Q252" i="4"/>
  <c r="Q251" i="4" s="1"/>
  <c r="P252" i="4"/>
  <c r="O252" i="4"/>
  <c r="O251" i="4" s="1"/>
  <c r="N252" i="4"/>
  <c r="R252" i="4" s="1"/>
  <c r="P251" i="4"/>
  <c r="P249" i="4"/>
  <c r="Q248" i="4"/>
  <c r="O248" i="4"/>
  <c r="N248" i="4"/>
  <c r="R246" i="4"/>
  <c r="N246" i="4"/>
  <c r="R245" i="4"/>
  <c r="N245" i="4"/>
  <c r="R244" i="4"/>
  <c r="N244" i="4"/>
  <c r="Q243" i="4"/>
  <c r="P243" i="4"/>
  <c r="O243" i="4"/>
  <c r="N243" i="4"/>
  <c r="R243" i="4" s="1"/>
  <c r="N242" i="4"/>
  <c r="R242" i="4" s="1"/>
  <c r="Q241" i="4"/>
  <c r="Q237" i="4" s="1"/>
  <c r="Q236" i="4" s="1"/>
  <c r="H236" i="4" s="1"/>
  <c r="P241" i="4"/>
  <c r="O241" i="4"/>
  <c r="N241" i="4"/>
  <c r="R241" i="4" s="1"/>
  <c r="Q240" i="4"/>
  <c r="P240" i="4"/>
  <c r="O240" i="4"/>
  <c r="N240" i="4"/>
  <c r="R240" i="4" s="1"/>
  <c r="Q239" i="4"/>
  <c r="P239" i="4"/>
  <c r="O239" i="4"/>
  <c r="O237" i="4" s="1"/>
  <c r="O236" i="4" s="1"/>
  <c r="F236" i="4" s="1"/>
  <c r="N239" i="4"/>
  <c r="Q238" i="4"/>
  <c r="P238" i="4"/>
  <c r="P237" i="4" s="1"/>
  <c r="P236" i="4" s="1"/>
  <c r="G236" i="4" s="1"/>
  <c r="O238" i="4"/>
  <c r="N238" i="4"/>
  <c r="U235" i="4"/>
  <c r="P235" i="4"/>
  <c r="V235" i="4" s="1"/>
  <c r="X235" i="4" s="1"/>
  <c r="O235" i="4"/>
  <c r="Q234" i="4"/>
  <c r="O234" i="4"/>
  <c r="N234" i="4"/>
  <c r="E234" i="4" s="1"/>
  <c r="H234" i="4"/>
  <c r="F234" i="4"/>
  <c r="E95" i="2" s="1"/>
  <c r="R233" i="4"/>
  <c r="O233" i="4"/>
  <c r="R232" i="4"/>
  <c r="Q232" i="4"/>
  <c r="O232" i="4"/>
  <c r="N232" i="4"/>
  <c r="R231" i="4"/>
  <c r="O231" i="4"/>
  <c r="Q230" i="4"/>
  <c r="P230" i="4"/>
  <c r="O230" i="4"/>
  <c r="N230" i="4"/>
  <c r="R230" i="4" s="1"/>
  <c r="Q229" i="4"/>
  <c r="Q228" i="4" s="1"/>
  <c r="Q227" i="4" s="1"/>
  <c r="H227" i="4" s="1"/>
  <c r="P229" i="4"/>
  <c r="O229" i="4"/>
  <c r="O228" i="4" s="1"/>
  <c r="N229" i="4"/>
  <c r="R229" i="4" s="1"/>
  <c r="P228" i="4"/>
  <c r="P227" i="4" s="1"/>
  <c r="G227" i="4" s="1"/>
  <c r="N228" i="4"/>
  <c r="N227" i="4" s="1"/>
  <c r="O227" i="4"/>
  <c r="F227" i="4" s="1"/>
  <c r="N226" i="4"/>
  <c r="R226" i="4" s="1"/>
  <c r="Q225" i="4"/>
  <c r="P225" i="4"/>
  <c r="O225" i="4"/>
  <c r="R224" i="4"/>
  <c r="Q223" i="4"/>
  <c r="Q222" i="4" s="1"/>
  <c r="H222" i="4" s="1"/>
  <c r="G93" i="2" s="1"/>
  <c r="P223" i="4"/>
  <c r="O223" i="4"/>
  <c r="O222" i="4" s="1"/>
  <c r="N223" i="4"/>
  <c r="R223" i="4" s="1"/>
  <c r="P222" i="4"/>
  <c r="G222" i="4" s="1"/>
  <c r="F93" i="2" s="1"/>
  <c r="F222" i="4"/>
  <c r="I221" i="4"/>
  <c r="J221" i="4" s="1"/>
  <c r="K221" i="4" s="1"/>
  <c r="W220" i="4"/>
  <c r="U220" i="4"/>
  <c r="T220" i="4"/>
  <c r="R220" i="4"/>
  <c r="P220" i="4"/>
  <c r="V220" i="4" s="1"/>
  <c r="W219" i="4"/>
  <c r="T219" i="4"/>
  <c r="P219" i="4"/>
  <c r="R219" i="4" s="1"/>
  <c r="O219" i="4"/>
  <c r="U219" i="4" s="1"/>
  <c r="Q218" i="4"/>
  <c r="P218" i="4"/>
  <c r="P217" i="4" s="1"/>
  <c r="G217" i="4" s="1"/>
  <c r="F70" i="2" s="1"/>
  <c r="O218" i="4"/>
  <c r="N218" i="4"/>
  <c r="N217" i="4" s="1"/>
  <c r="Q217" i="4"/>
  <c r="H217" i="4" s="1"/>
  <c r="O217" i="4"/>
  <c r="F217" i="4" s="1"/>
  <c r="I217" i="4" s="1"/>
  <c r="J217" i="4" s="1"/>
  <c r="E217" i="4"/>
  <c r="R214" i="4"/>
  <c r="Q213" i="4"/>
  <c r="P213" i="4"/>
  <c r="P212" i="4" s="1"/>
  <c r="O213" i="4"/>
  <c r="N213" i="4"/>
  <c r="R213" i="4" s="1"/>
  <c r="Q212" i="4"/>
  <c r="H212" i="4" s="1"/>
  <c r="O212" i="4"/>
  <c r="F212" i="4" s="1"/>
  <c r="G212" i="4"/>
  <c r="P210" i="4"/>
  <c r="Q209" i="4"/>
  <c r="H209" i="4" s="1"/>
  <c r="O209" i="4"/>
  <c r="F209" i="4" s="1"/>
  <c r="N209" i="4"/>
  <c r="E209" i="4"/>
  <c r="O207" i="4"/>
  <c r="R207" i="4" s="1"/>
  <c r="Q206" i="4"/>
  <c r="Q205" i="4" s="1"/>
  <c r="H205" i="4" s="1"/>
  <c r="P206" i="4"/>
  <c r="O206" i="4"/>
  <c r="O205" i="4" s="1"/>
  <c r="F205" i="4" s="1"/>
  <c r="N206" i="4"/>
  <c r="R205" i="4"/>
  <c r="P205" i="4"/>
  <c r="G205" i="4" s="1"/>
  <c r="N205" i="4"/>
  <c r="E205" i="4" s="1"/>
  <c r="X199" i="4"/>
  <c r="U199" i="4"/>
  <c r="R199" i="4"/>
  <c r="X198" i="4"/>
  <c r="U198" i="4"/>
  <c r="T198" i="4"/>
  <c r="R198" i="4"/>
  <c r="Q197" i="4"/>
  <c r="P197" i="4"/>
  <c r="P196" i="4" s="1"/>
  <c r="G196" i="4" s="1"/>
  <c r="O197" i="4"/>
  <c r="N197" i="4"/>
  <c r="R197" i="4" s="1"/>
  <c r="Q196" i="4"/>
  <c r="H196" i="4" s="1"/>
  <c r="G64" i="2" s="1"/>
  <c r="O196" i="4"/>
  <c r="F196" i="4" s="1"/>
  <c r="P195" i="4"/>
  <c r="R195" i="4" s="1"/>
  <c r="O195" i="4"/>
  <c r="R194" i="4"/>
  <c r="Q193" i="4"/>
  <c r="O193" i="4"/>
  <c r="N193" i="4"/>
  <c r="Q191" i="4"/>
  <c r="P191" i="4"/>
  <c r="P189" i="4" s="1"/>
  <c r="O191" i="4"/>
  <c r="O189" i="4" s="1"/>
  <c r="R189" i="4" s="1"/>
  <c r="N191" i="4"/>
  <c r="R190" i="4"/>
  <c r="Q189" i="4"/>
  <c r="N189" i="4"/>
  <c r="Q188" i="4"/>
  <c r="P188" i="4"/>
  <c r="O188" i="4"/>
  <c r="N188" i="4"/>
  <c r="R187" i="4"/>
  <c r="Q186" i="4"/>
  <c r="Q184" i="4" s="1"/>
  <c r="Q136" i="4" s="1"/>
  <c r="H136" i="4" s="1"/>
  <c r="P186" i="4"/>
  <c r="O186" i="4"/>
  <c r="N186" i="4"/>
  <c r="Q185" i="4"/>
  <c r="P185" i="4"/>
  <c r="P184" i="4" s="1"/>
  <c r="O185" i="4"/>
  <c r="N185" i="4"/>
  <c r="N184" i="4" s="1"/>
  <c r="O184" i="4"/>
  <c r="R183" i="4"/>
  <c r="O182" i="4"/>
  <c r="R181" i="4"/>
  <c r="R180" i="4"/>
  <c r="O180" i="4"/>
  <c r="R179" i="4"/>
  <c r="O179" i="4"/>
  <c r="R178" i="4"/>
  <c r="O178" i="4"/>
  <c r="R177" i="4"/>
  <c r="O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N162" i="4"/>
  <c r="R161" i="4"/>
  <c r="N161" i="4"/>
  <c r="R160" i="4"/>
  <c r="R159" i="4"/>
  <c r="R158" i="4"/>
  <c r="N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Q137" i="4"/>
  <c r="P137" i="4"/>
  <c r="N137" i="4"/>
  <c r="H134" i="4"/>
  <c r="H131" i="4" s="1"/>
  <c r="Q132" i="4" s="1"/>
  <c r="G134" i="4"/>
  <c r="G131" i="4" s="1"/>
  <c r="P132" i="4" s="1"/>
  <c r="F134" i="4"/>
  <c r="F131" i="4" s="1"/>
  <c r="O132" i="4" s="1"/>
  <c r="E134" i="4"/>
  <c r="E131" i="4" s="1"/>
  <c r="J133" i="4"/>
  <c r="K133" i="4" s="1"/>
  <c r="I133" i="4"/>
  <c r="T128" i="4"/>
  <c r="O128" i="4"/>
  <c r="R128" i="4" s="1"/>
  <c r="U127" i="4"/>
  <c r="X127" i="4" s="1"/>
  <c r="O127" i="4"/>
  <c r="R127" i="4" s="1"/>
  <c r="U126" i="4"/>
  <c r="X126" i="4" s="1"/>
  <c r="P126" i="4"/>
  <c r="R126" i="4" s="1"/>
  <c r="O126" i="4"/>
  <c r="Q125" i="4"/>
  <c r="P125" i="4"/>
  <c r="G125" i="4" s="1"/>
  <c r="G124" i="4" s="1"/>
  <c r="N125" i="4"/>
  <c r="E125" i="4" s="1"/>
  <c r="H125" i="4"/>
  <c r="H124" i="4" s="1"/>
  <c r="G61" i="2" s="1"/>
  <c r="K124" i="4"/>
  <c r="J124" i="4"/>
  <c r="U121" i="4"/>
  <c r="X121" i="4" s="1"/>
  <c r="R121" i="4"/>
  <c r="Q120" i="4"/>
  <c r="P120" i="4"/>
  <c r="G120" i="4" s="1"/>
  <c r="O120" i="4"/>
  <c r="N120" i="4"/>
  <c r="E120" i="4" s="1"/>
  <c r="H120" i="4"/>
  <c r="H119" i="4" s="1"/>
  <c r="F120" i="4"/>
  <c r="F119" i="4" s="1"/>
  <c r="G119" i="4"/>
  <c r="R118" i="4"/>
  <c r="Q117" i="4"/>
  <c r="P117" i="4"/>
  <c r="O117" i="4"/>
  <c r="N117" i="4"/>
  <c r="R117" i="4" s="1"/>
  <c r="R116" i="4"/>
  <c r="Q115" i="4"/>
  <c r="P115" i="4"/>
  <c r="P114" i="4" s="1"/>
  <c r="O115" i="4"/>
  <c r="N115" i="4"/>
  <c r="R115" i="4" s="1"/>
  <c r="Q114" i="4"/>
  <c r="Q111" i="4" s="1"/>
  <c r="O114" i="4"/>
  <c r="O111" i="4" s="1"/>
  <c r="R113" i="4"/>
  <c r="R112" i="4"/>
  <c r="P111" i="4"/>
  <c r="H111" i="4"/>
  <c r="G111" i="4"/>
  <c r="F111" i="4"/>
  <c r="E111" i="4"/>
  <c r="R107" i="4"/>
  <c r="K105" i="4"/>
  <c r="J105" i="4"/>
  <c r="I105" i="4"/>
  <c r="H105" i="4"/>
  <c r="G105" i="4"/>
  <c r="F105" i="4"/>
  <c r="E105" i="4"/>
  <c r="R101" i="4"/>
  <c r="K99" i="4"/>
  <c r="J99" i="4"/>
  <c r="I99" i="4"/>
  <c r="H99" i="4"/>
  <c r="G99" i="4"/>
  <c r="F99" i="4"/>
  <c r="E99" i="4"/>
  <c r="Q98" i="4"/>
  <c r="W98" i="4" s="1"/>
  <c r="P98" i="4"/>
  <c r="V98" i="4" s="1"/>
  <c r="O98" i="4"/>
  <c r="U98" i="4" s="1"/>
  <c r="N98" i="4"/>
  <c r="T98" i="4" s="1"/>
  <c r="Q97" i="4"/>
  <c r="P97" i="4"/>
  <c r="V97" i="4" s="1"/>
  <c r="O97" i="4"/>
  <c r="U97" i="4" s="1"/>
  <c r="N97" i="4"/>
  <c r="T97" i="4" s="1"/>
  <c r="Q95" i="4"/>
  <c r="W95" i="4" s="1"/>
  <c r="P95" i="4"/>
  <c r="V95" i="4" s="1"/>
  <c r="O95" i="4"/>
  <c r="U95" i="4" s="1"/>
  <c r="N95" i="4"/>
  <c r="T95" i="4" s="1"/>
  <c r="Q94" i="4"/>
  <c r="W94" i="4" s="1"/>
  <c r="P94" i="4"/>
  <c r="V94" i="4" s="1"/>
  <c r="O94" i="4"/>
  <c r="U94" i="4" s="1"/>
  <c r="N94" i="4"/>
  <c r="Q91" i="4"/>
  <c r="W91" i="4" s="1"/>
  <c r="P91" i="4"/>
  <c r="V91" i="4" s="1"/>
  <c r="O91" i="4"/>
  <c r="U91" i="4" s="1"/>
  <c r="N91" i="4"/>
  <c r="T91" i="4" s="1"/>
  <c r="Q90" i="4"/>
  <c r="W90" i="4" s="1"/>
  <c r="P90" i="4"/>
  <c r="V90" i="4" s="1"/>
  <c r="O90" i="4"/>
  <c r="N90" i="4"/>
  <c r="N89" i="4" s="1"/>
  <c r="Q86" i="4"/>
  <c r="W86" i="4" s="1"/>
  <c r="P86" i="4"/>
  <c r="V86" i="4" s="1"/>
  <c r="O86" i="4"/>
  <c r="U86" i="4" s="1"/>
  <c r="N86" i="4"/>
  <c r="T86" i="4" s="1"/>
  <c r="Q85" i="4"/>
  <c r="W85" i="4" s="1"/>
  <c r="P85" i="4"/>
  <c r="V85" i="4" s="1"/>
  <c r="O85" i="4"/>
  <c r="U85" i="4" s="1"/>
  <c r="N85" i="4"/>
  <c r="T85" i="4" s="1"/>
  <c r="Q84" i="4"/>
  <c r="W84" i="4" s="1"/>
  <c r="P84" i="4"/>
  <c r="V84" i="4" s="1"/>
  <c r="O84" i="4"/>
  <c r="U84" i="4" s="1"/>
  <c r="N84" i="4"/>
  <c r="Q82" i="4"/>
  <c r="W82" i="4" s="1"/>
  <c r="P82" i="4"/>
  <c r="V82" i="4" s="1"/>
  <c r="O82" i="4"/>
  <c r="U82" i="4" s="1"/>
  <c r="N82" i="4"/>
  <c r="T82" i="4" s="1"/>
  <c r="Q81" i="4"/>
  <c r="W81" i="4" s="1"/>
  <c r="P81" i="4"/>
  <c r="P80" i="4" s="1"/>
  <c r="O81" i="4"/>
  <c r="N81" i="4"/>
  <c r="T81" i="4" s="1"/>
  <c r="Q79" i="4"/>
  <c r="W79" i="4" s="1"/>
  <c r="P79" i="4"/>
  <c r="V79" i="4" s="1"/>
  <c r="O79" i="4"/>
  <c r="U79" i="4" s="1"/>
  <c r="N79" i="4"/>
  <c r="T79" i="4" s="1"/>
  <c r="Q78" i="4"/>
  <c r="W78" i="4" s="1"/>
  <c r="P78" i="4"/>
  <c r="V78" i="4" s="1"/>
  <c r="O78" i="4"/>
  <c r="U78" i="4" s="1"/>
  <c r="N78" i="4"/>
  <c r="T78" i="4" s="1"/>
  <c r="Q77" i="4"/>
  <c r="W77" i="4" s="1"/>
  <c r="P77" i="4"/>
  <c r="V77" i="4" s="1"/>
  <c r="O77" i="4"/>
  <c r="U77" i="4" s="1"/>
  <c r="N77" i="4"/>
  <c r="V73" i="4"/>
  <c r="T73" i="4"/>
  <c r="Q73" i="4"/>
  <c r="W73" i="4" s="1"/>
  <c r="P73" i="4"/>
  <c r="O73" i="4"/>
  <c r="U73" i="4" s="1"/>
  <c r="N73" i="4"/>
  <c r="V72" i="4"/>
  <c r="T72" i="4"/>
  <c r="Q72" i="4"/>
  <c r="W72" i="4" s="1"/>
  <c r="P72" i="4"/>
  <c r="O72" i="4"/>
  <c r="N72" i="4"/>
  <c r="P71" i="4"/>
  <c r="N71" i="4"/>
  <c r="W70" i="4"/>
  <c r="U70" i="4"/>
  <c r="T70" i="4"/>
  <c r="X70" i="4" s="1"/>
  <c r="R70" i="4"/>
  <c r="P70" i="4"/>
  <c r="V70" i="4" s="1"/>
  <c r="W69" i="4"/>
  <c r="V69" i="4"/>
  <c r="U69" i="4"/>
  <c r="T69" i="4"/>
  <c r="P69" i="4"/>
  <c r="R69" i="4" s="1"/>
  <c r="W68" i="4"/>
  <c r="U68" i="4"/>
  <c r="T68" i="4"/>
  <c r="R68" i="4"/>
  <c r="P68" i="4"/>
  <c r="V68" i="4" s="1"/>
  <c r="W67" i="4"/>
  <c r="U67" i="4"/>
  <c r="T67" i="4"/>
  <c r="P67" i="4"/>
  <c r="R67" i="4" s="1"/>
  <c r="W66" i="4"/>
  <c r="U66" i="4"/>
  <c r="T66" i="4"/>
  <c r="X66" i="4" s="1"/>
  <c r="R66" i="4"/>
  <c r="P66" i="4"/>
  <c r="V66" i="4" s="1"/>
  <c r="W65" i="4"/>
  <c r="U65" i="4"/>
  <c r="T65" i="4"/>
  <c r="P65" i="4"/>
  <c r="V65" i="4" s="1"/>
  <c r="Q64" i="4"/>
  <c r="O64" i="4"/>
  <c r="N64" i="4"/>
  <c r="N63" i="4"/>
  <c r="E63" i="4" s="1"/>
  <c r="V62" i="4"/>
  <c r="T62" i="4"/>
  <c r="Q62" i="4"/>
  <c r="P62" i="4"/>
  <c r="O62" i="4"/>
  <c r="N62" i="4"/>
  <c r="V61" i="4"/>
  <c r="T61" i="4"/>
  <c r="Q61" i="4"/>
  <c r="W61" i="4" s="1"/>
  <c r="P61" i="4"/>
  <c r="O61" i="4"/>
  <c r="U61" i="4" s="1"/>
  <c r="X61" i="4" s="1"/>
  <c r="N61" i="4"/>
  <c r="R60" i="4"/>
  <c r="P60" i="4"/>
  <c r="V60" i="4" s="1"/>
  <c r="X60" i="4" s="1"/>
  <c r="W59" i="4"/>
  <c r="U59" i="4"/>
  <c r="T59" i="4"/>
  <c r="P59" i="4"/>
  <c r="R59" i="4" s="1"/>
  <c r="Q57" i="4"/>
  <c r="H57" i="4" s="1"/>
  <c r="N57" i="4"/>
  <c r="E57" i="4"/>
  <c r="R51" i="4"/>
  <c r="N51" i="4"/>
  <c r="T51" i="4" s="1"/>
  <c r="X51" i="4" s="1"/>
  <c r="X50" i="4"/>
  <c r="U50" i="4"/>
  <c r="R50" i="4"/>
  <c r="V49" i="4"/>
  <c r="X49" i="4" s="1"/>
  <c r="R49" i="4"/>
  <c r="Q48" i="4"/>
  <c r="P48" i="4"/>
  <c r="G48" i="4" s="1"/>
  <c r="O48" i="4"/>
  <c r="N48" i="4"/>
  <c r="E48" i="4" s="1"/>
  <c r="H48" i="4"/>
  <c r="F48" i="4"/>
  <c r="X46" i="4"/>
  <c r="V46" i="4"/>
  <c r="R46" i="4"/>
  <c r="Q44" i="4"/>
  <c r="H44" i="4" s="1"/>
  <c r="P44" i="4"/>
  <c r="O44" i="4"/>
  <c r="F44" i="4" s="1"/>
  <c r="N44" i="4"/>
  <c r="R44" i="4" s="1"/>
  <c r="K44" i="4"/>
  <c r="J44" i="4"/>
  <c r="G44" i="4"/>
  <c r="I44" i="4" s="1"/>
  <c r="E44" i="4"/>
  <c r="V40" i="4"/>
  <c r="X40" i="4" s="1"/>
  <c r="R40" i="4"/>
  <c r="R39" i="4"/>
  <c r="Q39" i="4"/>
  <c r="P39" i="4"/>
  <c r="G39" i="4" s="1"/>
  <c r="O39" i="4"/>
  <c r="N39" i="4"/>
  <c r="E39" i="4" s="1"/>
  <c r="I39" i="4" s="1"/>
  <c r="J39" i="4" s="1"/>
  <c r="K39" i="4" s="1"/>
  <c r="H39" i="4"/>
  <c r="F39" i="4"/>
  <c r="W38" i="4"/>
  <c r="V38" i="4"/>
  <c r="U38" i="4"/>
  <c r="T38" i="4"/>
  <c r="X38" i="4" s="1"/>
  <c r="R38" i="4"/>
  <c r="V37" i="4"/>
  <c r="T37" i="4"/>
  <c r="X37" i="4" s="1"/>
  <c r="Q37" i="4"/>
  <c r="W37" i="4" s="1"/>
  <c r="P37" i="4"/>
  <c r="O37" i="4"/>
  <c r="U37" i="4" s="1"/>
  <c r="N37" i="4"/>
  <c r="R37" i="4" s="1"/>
  <c r="V36" i="4"/>
  <c r="T36" i="4"/>
  <c r="Q36" i="4"/>
  <c r="P36" i="4"/>
  <c r="O36" i="4"/>
  <c r="N36" i="4"/>
  <c r="P35" i="4"/>
  <c r="P33" i="4" s="1"/>
  <c r="G33" i="4" s="1"/>
  <c r="N35" i="4"/>
  <c r="V34" i="4"/>
  <c r="X34" i="4" s="1"/>
  <c r="R34" i="4"/>
  <c r="N33" i="4"/>
  <c r="E33" i="4" s="1"/>
  <c r="R31" i="4"/>
  <c r="W30" i="4"/>
  <c r="V30" i="4"/>
  <c r="U30" i="4"/>
  <c r="T30" i="4"/>
  <c r="R30" i="4"/>
  <c r="R29" i="4"/>
  <c r="W28" i="4"/>
  <c r="V28" i="4"/>
  <c r="U28" i="4"/>
  <c r="T28" i="4"/>
  <c r="X28" i="4" s="1"/>
  <c r="R28" i="4"/>
  <c r="Q27" i="4"/>
  <c r="P27" i="4"/>
  <c r="P26" i="4" s="1"/>
  <c r="O27" i="4"/>
  <c r="N27" i="4"/>
  <c r="N26" i="4" s="1"/>
  <c r="R26" i="4" s="1"/>
  <c r="Q26" i="4"/>
  <c r="H26" i="4" s="1"/>
  <c r="O26" i="4"/>
  <c r="F26" i="4" s="1"/>
  <c r="G26" i="4"/>
  <c r="V23" i="4"/>
  <c r="X23" i="4" s="1"/>
  <c r="R23" i="4"/>
  <c r="Q22" i="4"/>
  <c r="P22" i="4"/>
  <c r="G22" i="4" s="1"/>
  <c r="O22" i="4"/>
  <c r="N22" i="4"/>
  <c r="E22" i="4" s="1"/>
  <c r="H22" i="4"/>
  <c r="F22" i="4"/>
  <c r="W21" i="4"/>
  <c r="V21" i="4"/>
  <c r="U21" i="4"/>
  <c r="T21" i="4"/>
  <c r="X21" i="4" s="1"/>
  <c r="R21" i="4"/>
  <c r="W20" i="4"/>
  <c r="V20" i="4"/>
  <c r="U20" i="4"/>
  <c r="T20" i="4"/>
  <c r="X20" i="4" s="1"/>
  <c r="R20" i="4"/>
  <c r="Q19" i="4"/>
  <c r="P19" i="4"/>
  <c r="O19" i="4"/>
  <c r="N19" i="4"/>
  <c r="V18" i="4"/>
  <c r="U18" i="4"/>
  <c r="X18" i="4" s="1"/>
  <c r="R18" i="4"/>
  <c r="P18" i="4"/>
  <c r="X17" i="4"/>
  <c r="V17" i="4"/>
  <c r="R17" i="4"/>
  <c r="Q16" i="4"/>
  <c r="H16" i="4" s="1"/>
  <c r="O16" i="4"/>
  <c r="F16" i="4" s="1"/>
  <c r="P15" i="4"/>
  <c r="R15" i="4" s="1"/>
  <c r="R14" i="4"/>
  <c r="T13" i="4"/>
  <c r="R13" i="4"/>
  <c r="P13" i="4"/>
  <c r="V13" i="4" s="1"/>
  <c r="O13" i="4"/>
  <c r="U13" i="4" s="1"/>
  <c r="P12" i="4"/>
  <c r="Q11" i="4"/>
  <c r="H11" i="4" s="1"/>
  <c r="O11" i="4"/>
  <c r="F11" i="4" s="1"/>
  <c r="N11" i="4"/>
  <c r="E11" i="4"/>
  <c r="R8" i="4"/>
  <c r="P8" i="4"/>
  <c r="V8" i="4" s="1"/>
  <c r="X8" i="4" s="1"/>
  <c r="K8" i="4"/>
  <c r="I8" i="4"/>
  <c r="J8" i="4" s="1"/>
  <c r="G8" i="4"/>
  <c r="X7" i="4"/>
  <c r="V7" i="4"/>
  <c r="R7" i="4"/>
  <c r="P7" i="4"/>
  <c r="Y7" i="4" s="1"/>
  <c r="Z7" i="4" s="1"/>
  <c r="I7" i="4"/>
  <c r="J7" i="4" s="1"/>
  <c r="G7" i="4"/>
  <c r="I6" i="4"/>
  <c r="H6" i="4"/>
  <c r="G6" i="4"/>
  <c r="F6" i="4"/>
  <c r="E6" i="4"/>
  <c r="H43" i="3"/>
  <c r="G43" i="3"/>
  <c r="F43" i="3"/>
  <c r="E43" i="3"/>
  <c r="S35" i="3"/>
  <c r="R35" i="3"/>
  <c r="R34" i="3"/>
  <c r="G33" i="3"/>
  <c r="F33" i="3"/>
  <c r="E33" i="3"/>
  <c r="G32" i="3"/>
  <c r="I32" i="3" s="1"/>
  <c r="H28" i="3"/>
  <c r="G28" i="3"/>
  <c r="F28" i="3"/>
  <c r="E28" i="3"/>
  <c r="H27" i="3"/>
  <c r="G27" i="3"/>
  <c r="F27" i="3"/>
  <c r="E27" i="3"/>
  <c r="H26" i="3"/>
  <c r="G26" i="3"/>
  <c r="F26" i="3"/>
  <c r="E26" i="3"/>
  <c r="I26" i="3" s="1"/>
  <c r="H24" i="3"/>
  <c r="G24" i="3"/>
  <c r="F24" i="3"/>
  <c r="E24" i="3"/>
  <c r="H23" i="3"/>
  <c r="H22" i="3" s="1"/>
  <c r="G23" i="3"/>
  <c r="G22" i="3" s="1"/>
  <c r="G379" i="4" s="1"/>
  <c r="F23" i="3"/>
  <c r="E23" i="3"/>
  <c r="E22" i="3" s="1"/>
  <c r="O21" i="3"/>
  <c r="R21" i="3" s="1"/>
  <c r="N21" i="3"/>
  <c r="Q21" i="3" s="1"/>
  <c r="H21" i="3"/>
  <c r="H378" i="4" s="1"/>
  <c r="G21" i="3"/>
  <c r="G378" i="4" s="1"/>
  <c r="F21" i="3"/>
  <c r="F378" i="4" s="1"/>
  <c r="E21" i="3"/>
  <c r="E378" i="4" s="1"/>
  <c r="G20" i="3"/>
  <c r="I20" i="3" s="1"/>
  <c r="J20" i="3" s="1"/>
  <c r="G19" i="3"/>
  <c r="I19" i="3" s="1"/>
  <c r="J19" i="3" s="1"/>
  <c r="G18" i="3"/>
  <c r="I18" i="3" s="1"/>
  <c r="H17" i="3"/>
  <c r="H377" i="4" s="1"/>
  <c r="F17" i="3"/>
  <c r="E17" i="3"/>
  <c r="H15" i="3"/>
  <c r="G15" i="3"/>
  <c r="F15" i="3"/>
  <c r="E15" i="3"/>
  <c r="E12" i="3"/>
  <c r="F12" i="3" s="1"/>
  <c r="J11" i="3"/>
  <c r="K11" i="3" s="1"/>
  <c r="I11" i="3"/>
  <c r="G10" i="3"/>
  <c r="I10" i="3" s="1"/>
  <c r="J10" i="3" s="1"/>
  <c r="K10" i="3" s="1"/>
  <c r="G9" i="3"/>
  <c r="H8" i="3"/>
  <c r="F8" i="3"/>
  <c r="E8" i="3"/>
  <c r="F112" i="2"/>
  <c r="E112" i="2"/>
  <c r="D112" i="2"/>
  <c r="H110" i="2"/>
  <c r="G108" i="2"/>
  <c r="F108" i="2"/>
  <c r="E108" i="2"/>
  <c r="D108" i="2"/>
  <c r="H108" i="2" s="1"/>
  <c r="G107" i="2"/>
  <c r="F107" i="2"/>
  <c r="E107" i="2"/>
  <c r="D107" i="2"/>
  <c r="H107" i="2" s="1"/>
  <c r="J106" i="2"/>
  <c r="I106" i="2"/>
  <c r="G106" i="2"/>
  <c r="F106" i="2"/>
  <c r="E106" i="2"/>
  <c r="D106" i="2"/>
  <c r="H106" i="2" s="1"/>
  <c r="G105" i="2"/>
  <c r="E105" i="2"/>
  <c r="H105" i="2" s="1"/>
  <c r="I105" i="2" s="1"/>
  <c r="J105" i="2" s="1"/>
  <c r="G104" i="2"/>
  <c r="F104" i="2"/>
  <c r="E104" i="2"/>
  <c r="D104" i="2"/>
  <c r="H104" i="2" s="1"/>
  <c r="J102" i="2"/>
  <c r="I102" i="2"/>
  <c r="F98" i="2"/>
  <c r="E98" i="2"/>
  <c r="G96" i="2"/>
  <c r="F96" i="2"/>
  <c r="E96" i="2"/>
  <c r="D96" i="2"/>
  <c r="H96" i="2" s="1"/>
  <c r="I96" i="2" s="1"/>
  <c r="J96" i="2" s="1"/>
  <c r="G95" i="2"/>
  <c r="D95" i="2"/>
  <c r="G94" i="2"/>
  <c r="F94" i="2"/>
  <c r="E94" i="2"/>
  <c r="E93" i="2"/>
  <c r="H91" i="2"/>
  <c r="F90" i="2"/>
  <c r="H90" i="2" s="1"/>
  <c r="E86" i="2"/>
  <c r="H86" i="2" s="1"/>
  <c r="E85" i="2"/>
  <c r="H85" i="2" s="1"/>
  <c r="D84" i="2"/>
  <c r="D83" i="2"/>
  <c r="H83" i="2" s="1"/>
  <c r="D82" i="2"/>
  <c r="J81" i="2"/>
  <c r="I81" i="2"/>
  <c r="G81" i="2"/>
  <c r="F81" i="2"/>
  <c r="E81" i="2"/>
  <c r="D81" i="2"/>
  <c r="H81" i="2" s="1"/>
  <c r="J80" i="2"/>
  <c r="I80" i="2"/>
  <c r="G80" i="2"/>
  <c r="F80" i="2"/>
  <c r="E80" i="2"/>
  <c r="D80" i="2"/>
  <c r="M73" i="2"/>
  <c r="G73" i="2"/>
  <c r="G72" i="2" s="1"/>
  <c r="G70" i="2"/>
  <c r="E70" i="2"/>
  <c r="D70" i="2"/>
  <c r="H70" i="2" s="1"/>
  <c r="F69" i="2"/>
  <c r="D67" i="2"/>
  <c r="F66" i="2"/>
  <c r="E66" i="2"/>
  <c r="D66" i="2"/>
  <c r="E65" i="2"/>
  <c r="J64" i="2"/>
  <c r="I64" i="2"/>
  <c r="F64" i="2"/>
  <c r="E64" i="2"/>
  <c r="E63" i="2" s="1"/>
  <c r="F61" i="2"/>
  <c r="I59" i="2"/>
  <c r="E59" i="2"/>
  <c r="H59" i="2" s="1"/>
  <c r="J51" i="2"/>
  <c r="I51" i="2"/>
  <c r="H51" i="2"/>
  <c r="F51" i="2"/>
  <c r="E51" i="2"/>
  <c r="E50" i="2"/>
  <c r="H50" i="2" s="1"/>
  <c r="H49" i="2" s="1"/>
  <c r="G49" i="2"/>
  <c r="F49" i="2"/>
  <c r="E49" i="2"/>
  <c r="D49" i="2"/>
  <c r="J45" i="2"/>
  <c r="I45" i="2"/>
  <c r="G45" i="2"/>
  <c r="G44" i="2" s="1"/>
  <c r="F45" i="2"/>
  <c r="E45" i="2"/>
  <c r="D45" i="2"/>
  <c r="D44" i="2" s="1"/>
  <c r="H44" i="2" s="1"/>
  <c r="J44" i="2"/>
  <c r="I44" i="2"/>
  <c r="F44" i="2"/>
  <c r="E44" i="2"/>
  <c r="J40" i="2"/>
  <c r="I40" i="2"/>
  <c r="G40" i="2"/>
  <c r="F40" i="2"/>
  <c r="E40" i="2"/>
  <c r="D40" i="2"/>
  <c r="H40" i="2" s="1"/>
  <c r="J37" i="2"/>
  <c r="I37" i="2"/>
  <c r="I36" i="2" s="1"/>
  <c r="G37" i="2"/>
  <c r="F37" i="2"/>
  <c r="F36" i="2" s="1"/>
  <c r="E37" i="2"/>
  <c r="E36" i="2" s="1"/>
  <c r="D37" i="2"/>
  <c r="D36" i="2" s="1"/>
  <c r="J36" i="2"/>
  <c r="G36" i="2"/>
  <c r="K34" i="2"/>
  <c r="D32" i="2"/>
  <c r="H32" i="2" s="1"/>
  <c r="J29" i="2"/>
  <c r="I29" i="2"/>
  <c r="G29" i="2"/>
  <c r="F29" i="2"/>
  <c r="E29" i="2"/>
  <c r="H28" i="2"/>
  <c r="J23" i="2"/>
  <c r="I23" i="2"/>
  <c r="D20" i="2"/>
  <c r="H20" i="2" s="1"/>
  <c r="H19" i="2"/>
  <c r="H17" i="2"/>
  <c r="D15" i="2"/>
  <c r="G12" i="2"/>
  <c r="E12" i="2"/>
  <c r="K8" i="2"/>
  <c r="D9" i="2" s="1"/>
  <c r="H9" i="2" s="1"/>
  <c r="A23" i="1"/>
  <c r="A18" i="1"/>
  <c r="A19" i="1" s="1"/>
  <c r="A20" i="1" s="1"/>
  <c r="A16" i="1"/>
  <c r="A15" i="1"/>
  <c r="G8" i="3" l="1"/>
  <c r="Q280" i="4"/>
  <c r="L17" i="15"/>
  <c r="Q297" i="4"/>
  <c r="P89" i="4"/>
  <c r="U281" i="4"/>
  <c r="I9" i="3"/>
  <c r="J9" i="3" s="1"/>
  <c r="J8" i="3" s="1"/>
  <c r="Q342" i="4"/>
  <c r="Q341" i="4" s="1"/>
  <c r="H341" i="4" s="1"/>
  <c r="G103" i="2" s="1"/>
  <c r="P96" i="4"/>
  <c r="D21" i="2"/>
  <c r="N335" i="4"/>
  <c r="E82" i="2"/>
  <c r="Q273" i="4"/>
  <c r="F15" i="2"/>
  <c r="H15" i="2" s="1"/>
  <c r="F82" i="2"/>
  <c r="F79" i="2" s="1"/>
  <c r="F78" i="2" s="1"/>
  <c r="I17" i="15"/>
  <c r="N301" i="4"/>
  <c r="E21" i="2"/>
  <c r="V81" i="4"/>
  <c r="F13" i="2"/>
  <c r="H13" i="2" s="1"/>
  <c r="G21" i="2"/>
  <c r="P285" i="4"/>
  <c r="V293" i="4"/>
  <c r="I24" i="3"/>
  <c r="L24" i="3" s="1"/>
  <c r="E382" i="4"/>
  <c r="R319" i="4"/>
  <c r="P342" i="4"/>
  <c r="P341" i="4" s="1"/>
  <c r="G341" i="4" s="1"/>
  <c r="F103" i="2" s="1"/>
  <c r="K21" i="3"/>
  <c r="K378" i="4" s="1"/>
  <c r="N96" i="4"/>
  <c r="N285" i="4"/>
  <c r="O304" i="4"/>
  <c r="R330" i="4"/>
  <c r="R340" i="4"/>
  <c r="D79" i="2"/>
  <c r="D78" i="2" s="1"/>
  <c r="P277" i="4"/>
  <c r="P301" i="4"/>
  <c r="Q304" i="4"/>
  <c r="G12" i="3"/>
  <c r="G17" i="3"/>
  <c r="G377" i="4" s="1"/>
  <c r="G381" i="4" s="1"/>
  <c r="F22" i="3"/>
  <c r="F379" i="4" s="1"/>
  <c r="F383" i="4" s="1"/>
  <c r="F382" i="4"/>
  <c r="O76" i="4"/>
  <c r="N80" i="4"/>
  <c r="T90" i="4"/>
  <c r="O93" i="4"/>
  <c r="X95" i="4"/>
  <c r="R279" i="4"/>
  <c r="T279" i="4"/>
  <c r="X279" i="4" s="1"/>
  <c r="R287" i="4"/>
  <c r="T287" i="4"/>
  <c r="X287" i="4" s="1"/>
  <c r="R294" i="4"/>
  <c r="T294" i="4"/>
  <c r="X294" i="4" s="1"/>
  <c r="R303" i="4"/>
  <c r="T303" i="4"/>
  <c r="X303" i="4" s="1"/>
  <c r="O318" i="4"/>
  <c r="O307" i="4" s="1"/>
  <c r="F307" i="4" s="1"/>
  <c r="E100" i="2" s="1"/>
  <c r="R321" i="4"/>
  <c r="O332" i="4"/>
  <c r="N339" i="4"/>
  <c r="N338" i="4" s="1"/>
  <c r="C17" i="15"/>
  <c r="Q83" i="4"/>
  <c r="X98" i="4"/>
  <c r="D12" i="2"/>
  <c r="H12" i="3"/>
  <c r="P58" i="4"/>
  <c r="P57" i="4" s="1"/>
  <c r="G57" i="4" s="1"/>
  <c r="V59" i="4"/>
  <c r="X59" i="4" s="1"/>
  <c r="Q76" i="4"/>
  <c r="Q93" i="4"/>
  <c r="Q314" i="4"/>
  <c r="Q313" i="4" s="1"/>
  <c r="X321" i="4"/>
  <c r="F14" i="2"/>
  <c r="I15" i="3"/>
  <c r="J15" i="3" s="1"/>
  <c r="K15" i="3" s="1"/>
  <c r="P21" i="3"/>
  <c r="X79" i="4"/>
  <c r="O83" i="4"/>
  <c r="X85" i="4"/>
  <c r="R258" i="4"/>
  <c r="T258" i="4"/>
  <c r="X258" i="4" s="1"/>
  <c r="O273" i="4"/>
  <c r="R278" i="4"/>
  <c r="T278" i="4"/>
  <c r="O289" i="4"/>
  <c r="R293" i="4"/>
  <c r="T293" i="4"/>
  <c r="O297" i="4"/>
  <c r="X299" i="4"/>
  <c r="R316" i="4"/>
  <c r="H36" i="2"/>
  <c r="I15" i="2"/>
  <c r="K20" i="3"/>
  <c r="J15" i="2" s="1"/>
  <c r="AC14" i="14"/>
  <c r="AB14" i="14"/>
  <c r="AN14" i="14" s="1"/>
  <c r="AH14" i="14"/>
  <c r="K7" i="4"/>
  <c r="I50" i="2"/>
  <c r="I49" i="2" s="1"/>
  <c r="J6" i="4"/>
  <c r="X36" i="4"/>
  <c r="K9" i="3"/>
  <c r="K8" i="3" s="1"/>
  <c r="I17" i="3"/>
  <c r="J18" i="3"/>
  <c r="H379" i="4"/>
  <c r="H383" i="4" s="1"/>
  <c r="G16" i="2"/>
  <c r="G11" i="2" s="1"/>
  <c r="I14" i="2"/>
  <c r="K19" i="3"/>
  <c r="J14" i="2" s="1"/>
  <c r="E379" i="4"/>
  <c r="E383" i="4" s="1"/>
  <c r="D16" i="2"/>
  <c r="E16" i="3"/>
  <c r="X13" i="4"/>
  <c r="H204" i="4"/>
  <c r="G66" i="2"/>
  <c r="G65" i="2" s="1"/>
  <c r="G63" i="2" s="1"/>
  <c r="G60" i="2" s="1"/>
  <c r="K217" i="4"/>
  <c r="J70" i="2" s="1"/>
  <c r="I70" i="2"/>
  <c r="H37" i="2"/>
  <c r="I27" i="3"/>
  <c r="R27" i="4"/>
  <c r="N76" i="4"/>
  <c r="T77" i="4"/>
  <c r="X77" i="4" s="1"/>
  <c r="Q96" i="4"/>
  <c r="W97" i="4"/>
  <c r="X97" i="4" s="1"/>
  <c r="D8" i="2"/>
  <c r="F16" i="2"/>
  <c r="H80" i="2"/>
  <c r="I23" i="3"/>
  <c r="G383" i="4"/>
  <c r="R12" i="4"/>
  <c r="P11" i="4"/>
  <c r="G11" i="4" s="1"/>
  <c r="V15" i="4"/>
  <c r="X15" i="4" s="1"/>
  <c r="P16" i="4"/>
  <c r="G16" i="4" s="1"/>
  <c r="X30" i="4"/>
  <c r="R36" i="4"/>
  <c r="W62" i="4"/>
  <c r="R73" i="4"/>
  <c r="X73" i="4"/>
  <c r="R79" i="4"/>
  <c r="R82" i="4"/>
  <c r="X82" i="4"/>
  <c r="N83" i="4"/>
  <c r="T84" i="4"/>
  <c r="X84" i="4" s="1"/>
  <c r="R84" i="4"/>
  <c r="R91" i="4"/>
  <c r="X91" i="4"/>
  <c r="N93" i="4"/>
  <c r="T94" i="4"/>
  <c r="X94" i="4" s="1"/>
  <c r="R94" i="4"/>
  <c r="R97" i="4"/>
  <c r="R185" i="4"/>
  <c r="R227" i="4"/>
  <c r="P234" i="4"/>
  <c r="G234" i="4" s="1"/>
  <c r="F95" i="2" s="1"/>
  <c r="F92" i="2" s="1"/>
  <c r="X253" i="4"/>
  <c r="O256" i="4"/>
  <c r="O247" i="4" s="1"/>
  <c r="F247" i="4" s="1"/>
  <c r="E97" i="2" s="1"/>
  <c r="E92" i="2" s="1"/>
  <c r="U257" i="4"/>
  <c r="X257" i="4" s="1"/>
  <c r="X260" i="4"/>
  <c r="O277" i="4"/>
  <c r="U278" i="4"/>
  <c r="Q285" i="4"/>
  <c r="W286" i="4"/>
  <c r="X286" i="4" s="1"/>
  <c r="O292" i="4"/>
  <c r="U293" i="4"/>
  <c r="Q301" i="4"/>
  <c r="W302" i="4"/>
  <c r="X302" i="4" s="1"/>
  <c r="P307" i="4"/>
  <c r="G307" i="4" s="1"/>
  <c r="F100" i="2" s="1"/>
  <c r="N318" i="4"/>
  <c r="R320" i="4"/>
  <c r="P328" i="4"/>
  <c r="P327" i="4" s="1"/>
  <c r="V329" i="4"/>
  <c r="X329" i="4" s="1"/>
  <c r="BK8" i="14"/>
  <c r="BJ8" i="14"/>
  <c r="BI10" i="14"/>
  <c r="BH10" i="14"/>
  <c r="BG10" i="14"/>
  <c r="BF10" i="14"/>
  <c r="BL17" i="14"/>
  <c r="BO17" i="14" s="1"/>
  <c r="Q35" i="4"/>
  <c r="W36" i="4"/>
  <c r="R77" i="4"/>
  <c r="E119" i="4"/>
  <c r="I120" i="4"/>
  <c r="J120" i="4" s="1"/>
  <c r="R210" i="4"/>
  <c r="P209" i="4"/>
  <c r="G209" i="4" s="1"/>
  <c r="N328" i="4"/>
  <c r="T330" i="4"/>
  <c r="BN7" i="14"/>
  <c r="BR16" i="14"/>
  <c r="BM16" i="14"/>
  <c r="H45" i="2"/>
  <c r="F21" i="2"/>
  <c r="D29" i="2"/>
  <c r="H29" i="2" s="1"/>
  <c r="D54" i="2"/>
  <c r="G82" i="2"/>
  <c r="I21" i="3"/>
  <c r="I378" i="4" s="1"/>
  <c r="G382" i="4"/>
  <c r="S34" i="3"/>
  <c r="R11" i="4"/>
  <c r="V12" i="4"/>
  <c r="X12" i="4" s="1"/>
  <c r="G15" i="4"/>
  <c r="E26" i="4"/>
  <c r="I26" i="4" s="1"/>
  <c r="J26" i="4" s="1"/>
  <c r="K26" i="4" s="1"/>
  <c r="U36" i="4"/>
  <c r="O35" i="4"/>
  <c r="I48" i="4"/>
  <c r="J48" i="4" s="1"/>
  <c r="K48" i="4" s="1"/>
  <c r="R48" i="4"/>
  <c r="R65" i="4"/>
  <c r="P64" i="4"/>
  <c r="P63" i="4" s="1"/>
  <c r="G63" i="4" s="1"/>
  <c r="R72" i="4"/>
  <c r="R81" i="4"/>
  <c r="X86" i="4"/>
  <c r="R86" i="4"/>
  <c r="R90" i="4"/>
  <c r="I131" i="4"/>
  <c r="N132" i="4"/>
  <c r="R132" i="4" s="1"/>
  <c r="R182" i="4"/>
  <c r="O137" i="4"/>
  <c r="O136" i="4" s="1"/>
  <c r="F136" i="4" s="1"/>
  <c r="R186" i="4"/>
  <c r="R193" i="4"/>
  <c r="R206" i="4"/>
  <c r="R217" i="4"/>
  <c r="R218" i="4"/>
  <c r="X220" i="4"/>
  <c r="E227" i="4"/>
  <c r="R249" i="4"/>
  <c r="R248" i="4" s="1"/>
  <c r="P248" i="4"/>
  <c r="P247" i="4" s="1"/>
  <c r="G247" i="4" s="1"/>
  <c r="F97" i="2" s="1"/>
  <c r="Q264" i="4"/>
  <c r="H264" i="4" s="1"/>
  <c r="G98" i="2" s="1"/>
  <c r="X282" i="4"/>
  <c r="R286" i="4"/>
  <c r="N297" i="4"/>
  <c r="T298" i="4"/>
  <c r="X298" i="4" s="1"/>
  <c r="R298" i="4"/>
  <c r="R302" i="4"/>
  <c r="R325" i="4"/>
  <c r="N324" i="4"/>
  <c r="R324" i="4" s="1"/>
  <c r="Q325" i="4"/>
  <c r="Q324" i="4" s="1"/>
  <c r="U29" i="12"/>
  <c r="V29" i="12" s="1"/>
  <c r="V28" i="12"/>
  <c r="U11" i="14"/>
  <c r="V11" i="14" s="1"/>
  <c r="BS11" i="14"/>
  <c r="BN11" i="14"/>
  <c r="BK15" i="14"/>
  <c r="BJ15" i="14"/>
  <c r="S19" i="14"/>
  <c r="U19" i="14" s="1"/>
  <c r="V19" i="14" s="1"/>
  <c r="R19" i="14"/>
  <c r="T19" i="14" s="1"/>
  <c r="BM59" i="14"/>
  <c r="BR59" i="14" s="1"/>
  <c r="R120" i="4"/>
  <c r="D26" i="17"/>
  <c r="E10" i="17"/>
  <c r="E7" i="17" s="1"/>
  <c r="D18" i="2"/>
  <c r="H18" i="2" s="1"/>
  <c r="H16" i="3"/>
  <c r="J21" i="3"/>
  <c r="H382" i="4"/>
  <c r="I28" i="3"/>
  <c r="N16" i="4"/>
  <c r="R19" i="4"/>
  <c r="I22" i="4"/>
  <c r="J22" i="4" s="1"/>
  <c r="K22" i="4" s="1"/>
  <c r="R22" i="4"/>
  <c r="O57" i="4"/>
  <c r="F57" i="4" s="1"/>
  <c r="R61" i="4"/>
  <c r="U62" i="4"/>
  <c r="X62" i="4" s="1"/>
  <c r="X65" i="4"/>
  <c r="X68" i="4"/>
  <c r="X69" i="4"/>
  <c r="O71" i="4"/>
  <c r="R71" i="4" s="1"/>
  <c r="U72" i="4"/>
  <c r="X72" i="4" s="1"/>
  <c r="X78" i="4"/>
  <c r="O80" i="4"/>
  <c r="U81" i="4"/>
  <c r="O89" i="4"/>
  <c r="U90" i="4"/>
  <c r="R98" i="4"/>
  <c r="I111" i="4"/>
  <c r="J111" i="4" s="1"/>
  <c r="K111" i="4" s="1"/>
  <c r="E124" i="4"/>
  <c r="N136" i="4"/>
  <c r="R188" i="4"/>
  <c r="R191" i="4"/>
  <c r="I205" i="4"/>
  <c r="F204" i="4"/>
  <c r="R228" i="4"/>
  <c r="I234" i="4"/>
  <c r="J234" i="4" s="1"/>
  <c r="R235" i="4"/>
  <c r="R238" i="4"/>
  <c r="R239" i="4"/>
  <c r="N251" i="4"/>
  <c r="T255" i="4"/>
  <c r="X255" i="4" s="1"/>
  <c r="R255" i="4"/>
  <c r="R266" i="4"/>
  <c r="P273" i="4"/>
  <c r="V274" i="4"/>
  <c r="X274" i="4" s="1"/>
  <c r="X275" i="4"/>
  <c r="R275" i="4"/>
  <c r="N280" i="4"/>
  <c r="T281" i="4"/>
  <c r="R281" i="4"/>
  <c r="P289" i="4"/>
  <c r="V290" i="4"/>
  <c r="X290" i="4" s="1"/>
  <c r="X291" i="4"/>
  <c r="R291" i="4"/>
  <c r="P304" i="4"/>
  <c r="V305" i="4"/>
  <c r="X305" i="4" s="1"/>
  <c r="X306" i="4"/>
  <c r="R306" i="4"/>
  <c r="N313" i="4"/>
  <c r="R315" i="4"/>
  <c r="BM9" i="14"/>
  <c r="BR9" i="14" s="1"/>
  <c r="BR12" i="14"/>
  <c r="BM12" i="14"/>
  <c r="BK13" i="14"/>
  <c r="BP13" i="14" s="1"/>
  <c r="BQ13" i="14"/>
  <c r="BL13" i="14"/>
  <c r="BO23" i="14"/>
  <c r="BP23" i="14"/>
  <c r="BL30" i="14"/>
  <c r="BQ30" i="14" s="1"/>
  <c r="R62" i="4"/>
  <c r="Q71" i="4"/>
  <c r="Q63" i="4" s="1"/>
  <c r="H63" i="4" s="1"/>
  <c r="P76" i="4"/>
  <c r="Q80" i="4"/>
  <c r="P83" i="4"/>
  <c r="Q89" i="4"/>
  <c r="P93" i="4"/>
  <c r="O96" i="4"/>
  <c r="N114" i="4"/>
  <c r="O125" i="4"/>
  <c r="U128" i="4"/>
  <c r="X128" i="4" s="1"/>
  <c r="P193" i="4"/>
  <c r="P136" i="4" s="1"/>
  <c r="G136" i="4" s="1"/>
  <c r="N196" i="4"/>
  <c r="N212" i="4"/>
  <c r="N225" i="4"/>
  <c r="N237" i="4"/>
  <c r="Q256" i="4"/>
  <c r="Q247" i="4" s="1"/>
  <c r="H247" i="4" s="1"/>
  <c r="N265" i="4"/>
  <c r="N273" i="4"/>
  <c r="Q277" i="4"/>
  <c r="Q271" i="4" s="1"/>
  <c r="H271" i="4" s="1"/>
  <c r="P280" i="4"/>
  <c r="O285" i="4"/>
  <c r="N289" i="4"/>
  <c r="Q292" i="4"/>
  <c r="P297" i="4"/>
  <c r="O301" i="4"/>
  <c r="N304" i="4"/>
  <c r="U330" i="4"/>
  <c r="O328" i="4"/>
  <c r="O327" i="4" s="1"/>
  <c r="R337" i="4"/>
  <c r="N352" i="4"/>
  <c r="R353" i="4"/>
  <c r="R354" i="4"/>
  <c r="R357" i="4"/>
  <c r="R358" i="4"/>
  <c r="R366" i="4"/>
  <c r="R365" i="4" s="1"/>
  <c r="BR8" i="14"/>
  <c r="BM8" i="14"/>
  <c r="T12" i="14"/>
  <c r="S12" i="14"/>
  <c r="R12" i="14"/>
  <c r="BN12" i="14"/>
  <c r="BS12" i="14" s="1"/>
  <c r="BR15" i="14"/>
  <c r="BM15" i="14"/>
  <c r="BR17" i="14"/>
  <c r="BK18" i="14"/>
  <c r="BJ18" i="14"/>
  <c r="BR21" i="14"/>
  <c r="BM21" i="14"/>
  <c r="BP22" i="14"/>
  <c r="J85" i="14"/>
  <c r="T26" i="14"/>
  <c r="S26" i="14"/>
  <c r="R26" i="14"/>
  <c r="U26" i="14" s="1"/>
  <c r="T43" i="14"/>
  <c r="U43" i="14" s="1"/>
  <c r="V43" i="14" s="1"/>
  <c r="S43" i="14"/>
  <c r="BN46" i="14"/>
  <c r="BS46" i="14" s="1"/>
  <c r="BR61" i="14"/>
  <c r="BM61" i="14"/>
  <c r="V67" i="4"/>
  <c r="X67" i="4" s="1"/>
  <c r="R78" i="4"/>
  <c r="R85" i="4"/>
  <c r="R95" i="4"/>
  <c r="I134" i="4"/>
  <c r="J134" i="4" s="1"/>
  <c r="J131" i="4" s="1"/>
  <c r="V219" i="4"/>
  <c r="X219" i="4" s="1"/>
  <c r="R234" i="4"/>
  <c r="R254" i="4"/>
  <c r="R251" i="4" s="1"/>
  <c r="R274" i="4"/>
  <c r="R282" i="4"/>
  <c r="R290" i="4"/>
  <c r="R299" i="4"/>
  <c r="R305" i="4"/>
  <c r="U337" i="4"/>
  <c r="X337" i="4" s="1"/>
  <c r="O335" i="4"/>
  <c r="R345" i="4"/>
  <c r="R361" i="4"/>
  <c r="I365" i="4"/>
  <c r="J365" i="4" s="1"/>
  <c r="K371" i="4"/>
  <c r="J112" i="2" s="1"/>
  <c r="J371" i="4"/>
  <c r="BA25" i="14"/>
  <c r="BF9" i="14"/>
  <c r="BQ9" i="14"/>
  <c r="BL9" i="14"/>
  <c r="U10" i="14"/>
  <c r="V10" i="14" s="1"/>
  <c r="BR11" i="14"/>
  <c r="U12" i="14"/>
  <c r="V12" i="14" s="1"/>
  <c r="BK12" i="14"/>
  <c r="BP12" i="14" s="1"/>
  <c r="BT12" i="14" s="1"/>
  <c r="BJ12" i="14"/>
  <c r="BM13" i="14"/>
  <c r="BR13" i="14" s="1"/>
  <c r="BF16" i="14"/>
  <c r="BL16" i="14"/>
  <c r="BQ16" i="14" s="1"/>
  <c r="AO17" i="14"/>
  <c r="AS17" i="14" s="1"/>
  <c r="BS19" i="14"/>
  <c r="BN19" i="14"/>
  <c r="BN20" i="14"/>
  <c r="BS20" i="14" s="1"/>
  <c r="BS21" i="14"/>
  <c r="BN21" i="14"/>
  <c r="BM24" i="14"/>
  <c r="BR24" i="14" s="1"/>
  <c r="BQ34" i="14"/>
  <c r="BL34" i="14"/>
  <c r="BM41" i="14"/>
  <c r="BR41" i="14" s="1"/>
  <c r="BP42" i="14"/>
  <c r="BK42" i="14"/>
  <c r="BJ42" i="14"/>
  <c r="BM63" i="14"/>
  <c r="BR63" i="14" s="1"/>
  <c r="BR74" i="14"/>
  <c r="BM74" i="14"/>
  <c r="BL74" i="14"/>
  <c r="BQ74" i="14"/>
  <c r="N259" i="4"/>
  <c r="N332" i="4"/>
  <c r="T333" i="4"/>
  <c r="X333" i="4" s="1"/>
  <c r="R333" i="4"/>
  <c r="V334" i="4"/>
  <c r="X334" i="4" s="1"/>
  <c r="P332" i="4"/>
  <c r="Q335" i="4"/>
  <c r="W336" i="4"/>
  <c r="X336" i="4" s="1"/>
  <c r="N342" i="4"/>
  <c r="T343" i="4"/>
  <c r="X343" i="4" s="1"/>
  <c r="R343" i="4"/>
  <c r="I344" i="4"/>
  <c r="J344" i="4" s="1"/>
  <c r="R369" i="4"/>
  <c r="I369" i="4"/>
  <c r="J369" i="4" s="1"/>
  <c r="R371" i="4"/>
  <c r="J25" i="14"/>
  <c r="T7" i="14"/>
  <c r="X7" i="14"/>
  <c r="S7" i="14"/>
  <c r="U7" i="14" s="1"/>
  <c r="R8" i="14"/>
  <c r="S8" i="14" s="1"/>
  <c r="BS8" i="14"/>
  <c r="BN8" i="14"/>
  <c r="S13" i="14"/>
  <c r="BS14" i="14"/>
  <c r="BN14" i="14"/>
  <c r="R15" i="14"/>
  <c r="T15" i="14" s="1"/>
  <c r="BS15" i="14"/>
  <c r="BN15" i="14"/>
  <c r="BJ17" i="14"/>
  <c r="BN24" i="14"/>
  <c r="BS24" i="14" s="1"/>
  <c r="BM31" i="14"/>
  <c r="BR31" i="14" s="1"/>
  <c r="BS31" i="14"/>
  <c r="BN31" i="14"/>
  <c r="BL38" i="14"/>
  <c r="BR39" i="14"/>
  <c r="BM39" i="14"/>
  <c r="BK50" i="14"/>
  <c r="BO50" i="14" s="1"/>
  <c r="BJ50" i="14"/>
  <c r="BR57" i="14"/>
  <c r="BM57" i="14"/>
  <c r="R336" i="4"/>
  <c r="R344" i="4"/>
  <c r="R356" i="4"/>
  <c r="BC27" i="14"/>
  <c r="BC85" i="14" s="1"/>
  <c r="BC104" i="14" s="1"/>
  <c r="BC43" i="14"/>
  <c r="AY25" i="14"/>
  <c r="BF7" i="14"/>
  <c r="BF11" i="14"/>
  <c r="BJ14" i="14"/>
  <c r="BQ18" i="14"/>
  <c r="BO19" i="14"/>
  <c r="T21" i="14"/>
  <c r="S21" i="14"/>
  <c r="U21" i="14" s="1"/>
  <c r="V21" i="14" s="1"/>
  <c r="R23" i="14"/>
  <c r="S23" i="14" s="1"/>
  <c r="U23" i="14" s="1"/>
  <c r="V23" i="14" s="1"/>
  <c r="R24" i="14"/>
  <c r="T24" i="14" s="1"/>
  <c r="BJ24" i="14"/>
  <c r="BQ24" i="14"/>
  <c r="BS27" i="14"/>
  <c r="BP27" i="14"/>
  <c r="BK27" i="14"/>
  <c r="BR35" i="14"/>
  <c r="BM35" i="14"/>
  <c r="BS39" i="14"/>
  <c r="BH44" i="14"/>
  <c r="BI44" i="14"/>
  <c r="BG44" i="14"/>
  <c r="BF44" i="14"/>
  <c r="S45" i="14"/>
  <c r="U45" i="14" s="1"/>
  <c r="V45" i="14" s="1"/>
  <c r="BR47" i="14"/>
  <c r="BM47" i="14"/>
  <c r="R49" i="14"/>
  <c r="T49" i="14" s="1"/>
  <c r="BN49" i="14"/>
  <c r="BS49" i="14" s="1"/>
  <c r="R329" i="4"/>
  <c r="Q332" i="4"/>
  <c r="R334" i="4"/>
  <c r="P335" i="4"/>
  <c r="AZ25" i="14"/>
  <c r="BG7" i="14"/>
  <c r="R9" i="14"/>
  <c r="T9" i="14" s="1"/>
  <c r="BI9" i="14"/>
  <c r="BI25" i="14" s="1"/>
  <c r="T11" i="14"/>
  <c r="BG11" i="14"/>
  <c r="R13" i="14"/>
  <c r="T13" i="14" s="1"/>
  <c r="BI13" i="14"/>
  <c r="BK14" i="14"/>
  <c r="BO14" i="14" s="1"/>
  <c r="R16" i="14"/>
  <c r="T16" i="14" s="1"/>
  <c r="BI16" i="14"/>
  <c r="BM17" i="14"/>
  <c r="N20" i="14"/>
  <c r="N25" i="14" s="1"/>
  <c r="N104" i="14" s="1"/>
  <c r="L20" i="14"/>
  <c r="BH20" i="14"/>
  <c r="BG20" i="14"/>
  <c r="BF20" i="14"/>
  <c r="R21" i="14"/>
  <c r="BR22" i="14"/>
  <c r="T23" i="14"/>
  <c r="BR23" i="14"/>
  <c r="BP24" i="14"/>
  <c r="BQ26" i="14"/>
  <c r="BL26" i="14"/>
  <c r="BQ27" i="14"/>
  <c r="AE28" i="14"/>
  <c r="BI28" i="14"/>
  <c r="BH28" i="14"/>
  <c r="BG28" i="14"/>
  <c r="BF28" i="14"/>
  <c r="AE29" i="14"/>
  <c r="BI29" i="14"/>
  <c r="BH29" i="14"/>
  <c r="BG29" i="14"/>
  <c r="BF29" i="14"/>
  <c r="L33" i="14"/>
  <c r="T34" i="14"/>
  <c r="S36" i="14"/>
  <c r="BP36" i="14"/>
  <c r="BK36" i="14"/>
  <c r="BJ36" i="14"/>
  <c r="T37" i="14"/>
  <c r="S37" i="14"/>
  <c r="U37" i="14" s="1"/>
  <c r="V37" i="14" s="1"/>
  <c r="R38" i="14"/>
  <c r="BF39" i="14"/>
  <c r="BQ39" i="14"/>
  <c r="BL39" i="14"/>
  <c r="T41" i="14"/>
  <c r="S41" i="14"/>
  <c r="R41" i="14"/>
  <c r="BN41" i="14"/>
  <c r="BS41" i="14" s="1"/>
  <c r="BR45" i="14"/>
  <c r="BS48" i="14"/>
  <c r="BN48" i="14"/>
  <c r="BM51" i="14"/>
  <c r="BR51" i="14" s="1"/>
  <c r="T54" i="14"/>
  <c r="S54" i="14"/>
  <c r="BH7" i="14"/>
  <c r="BN18" i="14"/>
  <c r="BS18" i="14" s="1"/>
  <c r="BR19" i="14"/>
  <c r="BP19" i="14"/>
  <c r="BT19" i="14" s="1"/>
  <c r="AQ22" i="14"/>
  <c r="AS22" i="14" s="1"/>
  <c r="BN22" i="14"/>
  <c r="BO22" i="14" s="1"/>
  <c r="BN23" i="14"/>
  <c r="BS23" i="14" s="1"/>
  <c r="BK24" i="14"/>
  <c r="BA85" i="14"/>
  <c r="BH26" i="14"/>
  <c r="AW27" i="14"/>
  <c r="AD28" i="14"/>
  <c r="AO28" i="14" s="1"/>
  <c r="S28" i="14"/>
  <c r="R28" i="14"/>
  <c r="AD29" i="14"/>
  <c r="AO29" i="14" s="1"/>
  <c r="S29" i="14"/>
  <c r="R29" i="14"/>
  <c r="R30" i="14"/>
  <c r="BJ30" i="14"/>
  <c r="R32" i="14"/>
  <c r="L32" i="14"/>
  <c r="BR32" i="14"/>
  <c r="BS32" i="14"/>
  <c r="BN32" i="14"/>
  <c r="BK33" i="14"/>
  <c r="BO33" i="14" s="1"/>
  <c r="BJ33" i="14"/>
  <c r="R34" i="14"/>
  <c r="BJ34" i="14"/>
  <c r="BO35" i="14"/>
  <c r="BQ36" i="14"/>
  <c r="BR37" i="14"/>
  <c r="BN37" i="14"/>
  <c r="BS37" i="14" s="1"/>
  <c r="BJ38" i="14"/>
  <c r="BN40" i="14"/>
  <c r="BS40" i="14" s="1"/>
  <c r="BQ41" i="14"/>
  <c r="BL43" i="14"/>
  <c r="BQ43" i="14"/>
  <c r="BS45" i="14"/>
  <c r="R47" i="14"/>
  <c r="T47" i="14" s="1"/>
  <c r="BN47" i="14"/>
  <c r="BS47" i="14" s="1"/>
  <c r="BR49" i="14"/>
  <c r="BM49" i="14"/>
  <c r="T52" i="14"/>
  <c r="S52" i="14"/>
  <c r="U52" i="14" s="1"/>
  <c r="V52" i="14" s="1"/>
  <c r="BS54" i="14"/>
  <c r="BN54" i="14"/>
  <c r="BR64" i="14"/>
  <c r="BM76" i="14"/>
  <c r="BR76" i="14" s="1"/>
  <c r="BL76" i="14"/>
  <c r="BQ76" i="14" s="1"/>
  <c r="T90" i="14"/>
  <c r="S90" i="14"/>
  <c r="R90" i="14"/>
  <c r="U90" i="14" s="1"/>
  <c r="V90" i="14" s="1"/>
  <c r="BF31" i="14"/>
  <c r="BF32" i="14"/>
  <c r="U36" i="14"/>
  <c r="V36" i="14" s="1"/>
  <c r="W36" i="14" s="1"/>
  <c r="BF37" i="14"/>
  <c r="BJ40" i="14"/>
  <c r="BN43" i="14"/>
  <c r="BS43" i="14" s="1"/>
  <c r="BO45" i="14"/>
  <c r="BJ45" i="14"/>
  <c r="BP45" i="14"/>
  <c r="BR46" i="14"/>
  <c r="BR48" i="14"/>
  <c r="S51" i="14"/>
  <c r="R53" i="14"/>
  <c r="T53" i="14" s="1"/>
  <c r="BI56" i="14"/>
  <c r="BH56" i="14"/>
  <c r="BG56" i="14"/>
  <c r="BF56" i="14"/>
  <c r="U57" i="14"/>
  <c r="V57" i="14" s="1"/>
  <c r="BS57" i="14"/>
  <c r="BS59" i="14"/>
  <c r="S60" i="14"/>
  <c r="U63" i="14"/>
  <c r="V63" i="14" s="1"/>
  <c r="S69" i="14"/>
  <c r="T69" i="14"/>
  <c r="S71" i="14"/>
  <c r="T71" i="14"/>
  <c r="AK72" i="14"/>
  <c r="AM72" i="14"/>
  <c r="AI72" i="14"/>
  <c r="AD72" i="14"/>
  <c r="AJ72" i="14"/>
  <c r="AB72" i="14"/>
  <c r="AG72" i="14" s="1"/>
  <c r="BS92" i="14"/>
  <c r="BN92" i="14"/>
  <c r="BJ19" i="14"/>
  <c r="BF21" i="14"/>
  <c r="BJ22" i="14"/>
  <c r="BJ23" i="14"/>
  <c r="AY85" i="14"/>
  <c r="BI26" i="14"/>
  <c r="BL27" i="14"/>
  <c r="BM30" i="14"/>
  <c r="BR30" i="14" s="1"/>
  <c r="U31" i="14"/>
  <c r="V31" i="14" s="1"/>
  <c r="W31" i="14" s="1"/>
  <c r="BG31" i="14"/>
  <c r="BG32" i="14"/>
  <c r="BL33" i="14"/>
  <c r="BQ33" i="14" s="1"/>
  <c r="BM34" i="14"/>
  <c r="BR34" i="14" s="1"/>
  <c r="BT34" i="14" s="1"/>
  <c r="BJ35" i="14"/>
  <c r="BN35" i="14"/>
  <c r="BS35" i="14" s="1"/>
  <c r="R36" i="14"/>
  <c r="T36" i="14" s="1"/>
  <c r="BL36" i="14"/>
  <c r="BG37" i="14"/>
  <c r="BM38" i="14"/>
  <c r="BR38" i="14" s="1"/>
  <c r="U39" i="14"/>
  <c r="V39" i="14" s="1"/>
  <c r="U40" i="14"/>
  <c r="V40" i="14" s="1"/>
  <c r="W40" i="14" s="1"/>
  <c r="BK40" i="14"/>
  <c r="BO40" i="14" s="1"/>
  <c r="BF41" i="14"/>
  <c r="R42" i="14"/>
  <c r="T42" i="14" s="1"/>
  <c r="BL42" i="14"/>
  <c r="BQ42" i="14" s="1"/>
  <c r="BH43" i="14"/>
  <c r="R46" i="14"/>
  <c r="BQ46" i="14"/>
  <c r="R48" i="14"/>
  <c r="BQ48" i="14"/>
  <c r="S50" i="14"/>
  <c r="R50" i="14"/>
  <c r="R51" i="14"/>
  <c r="T51" i="14" s="1"/>
  <c r="BJ51" i="14"/>
  <c r="BN52" i="14"/>
  <c r="BS52" i="14" s="1"/>
  <c r="BL53" i="14"/>
  <c r="BQ53" i="14" s="1"/>
  <c r="BP55" i="14"/>
  <c r="BK55" i="14"/>
  <c r="BJ55" i="14"/>
  <c r="T56" i="14"/>
  <c r="S56" i="14"/>
  <c r="U56" i="14" s="1"/>
  <c r="V56" i="14" s="1"/>
  <c r="T57" i="14"/>
  <c r="S57" i="14"/>
  <c r="BO57" i="14"/>
  <c r="BK58" i="14"/>
  <c r="BJ58" i="14"/>
  <c r="T59" i="14"/>
  <c r="S59" i="14"/>
  <c r="U59" i="14" s="1"/>
  <c r="V59" i="14" s="1"/>
  <c r="BO59" i="14"/>
  <c r="BK60" i="14"/>
  <c r="BO60" i="14" s="1"/>
  <c r="BJ60" i="14"/>
  <c r="T61" i="14"/>
  <c r="S61" i="14"/>
  <c r="U61" i="14" s="1"/>
  <c r="V61" i="14" s="1"/>
  <c r="BO61" i="14"/>
  <c r="BK62" i="14"/>
  <c r="BO62" i="14" s="1"/>
  <c r="BJ62" i="14"/>
  <c r="T63" i="14"/>
  <c r="S63" i="14"/>
  <c r="T65" i="14"/>
  <c r="S65" i="14"/>
  <c r="AF72" i="14"/>
  <c r="AT81" i="14"/>
  <c r="BR88" i="14"/>
  <c r="BM88" i="14"/>
  <c r="BN91" i="14"/>
  <c r="BS91" i="14" s="1"/>
  <c r="AZ85" i="14"/>
  <c r="BF26" i="14"/>
  <c r="L27" i="14"/>
  <c r="T28" i="14"/>
  <c r="T29" i="14"/>
  <c r="L35" i="14"/>
  <c r="BF43" i="14"/>
  <c r="R44" i="14"/>
  <c r="T45" i="14"/>
  <c r="BM45" i="14"/>
  <c r="T48" i="14"/>
  <c r="T50" i="14"/>
  <c r="BS50" i="14"/>
  <c r="BQ51" i="14"/>
  <c r="BT51" i="14" s="1"/>
  <c r="BL51" i="14"/>
  <c r="T55" i="14"/>
  <c r="R55" i="14"/>
  <c r="BP57" i="14"/>
  <c r="BT57" i="14" s="1"/>
  <c r="BP59" i="14"/>
  <c r="BQ60" i="14"/>
  <c r="BP61" i="14"/>
  <c r="BP63" i="14"/>
  <c r="BK66" i="14"/>
  <c r="BO66" i="14" s="1"/>
  <c r="BJ66" i="14"/>
  <c r="AN72" i="14"/>
  <c r="BS75" i="14"/>
  <c r="BS77" i="14"/>
  <c r="BN78" i="14"/>
  <c r="BS78" i="14" s="1"/>
  <c r="BJ52" i="14"/>
  <c r="BJ54" i="14"/>
  <c r="BN65" i="14"/>
  <c r="BO65" i="14" s="1"/>
  <c r="U67" i="14"/>
  <c r="V67" i="14" s="1"/>
  <c r="BJ67" i="14"/>
  <c r="BJ68" i="14"/>
  <c r="BJ69" i="14"/>
  <c r="BJ70" i="14"/>
  <c r="T73" i="14"/>
  <c r="U73" i="14" s="1"/>
  <c r="V73" i="14" s="1"/>
  <c r="R73" i="14"/>
  <c r="R74" i="14"/>
  <c r="T76" i="14"/>
  <c r="R76" i="14"/>
  <c r="R78" i="14"/>
  <c r="BL78" i="14"/>
  <c r="BQ78" i="14" s="1"/>
  <c r="BN88" i="14"/>
  <c r="BS88" i="14" s="1"/>
  <c r="BS89" i="14"/>
  <c r="BN89" i="14"/>
  <c r="BH98" i="14"/>
  <c r="BI98" i="14"/>
  <c r="BG98" i="14"/>
  <c r="BF98" i="14"/>
  <c r="BF46" i="14"/>
  <c r="BF47" i="14"/>
  <c r="BF48" i="14"/>
  <c r="BF49" i="14"/>
  <c r="BK52" i="14"/>
  <c r="BO52" i="14" s="1"/>
  <c r="BM53" i="14"/>
  <c r="BO53" i="14" s="1"/>
  <c r="U54" i="14"/>
  <c r="V54" i="14" s="1"/>
  <c r="BK54" i="14"/>
  <c r="BO54" i="14" s="1"/>
  <c r="BL55" i="14"/>
  <c r="BQ55" i="14" s="1"/>
  <c r="BJ57" i="14"/>
  <c r="BN57" i="14"/>
  <c r="R58" i="14"/>
  <c r="T58" i="14" s="1"/>
  <c r="BL58" i="14"/>
  <c r="BQ58" i="14" s="1"/>
  <c r="BJ59" i="14"/>
  <c r="BN59" i="14"/>
  <c r="R60" i="14"/>
  <c r="T60" i="14" s="1"/>
  <c r="BL60" i="14"/>
  <c r="BJ61" i="14"/>
  <c r="BN61" i="14"/>
  <c r="BS61" i="14" s="1"/>
  <c r="R62" i="14"/>
  <c r="T62" i="14" s="1"/>
  <c r="BL62" i="14"/>
  <c r="BQ62" i="14" s="1"/>
  <c r="BJ63" i="14"/>
  <c r="BN63" i="14"/>
  <c r="BS63" i="14" s="1"/>
  <c r="R64" i="14"/>
  <c r="T64" i="14" s="1"/>
  <c r="BJ64" i="14"/>
  <c r="BJ65" i="14"/>
  <c r="BP65" i="14"/>
  <c r="BL66" i="14"/>
  <c r="BQ66" i="14" s="1"/>
  <c r="BR66" i="14"/>
  <c r="BI71" i="14"/>
  <c r="BG71" i="14"/>
  <c r="BF71" i="14"/>
  <c r="BR72" i="14"/>
  <c r="S73" i="14"/>
  <c r="S74" i="14"/>
  <c r="BS74" i="14"/>
  <c r="BR75" i="14"/>
  <c r="S76" i="14"/>
  <c r="U76" i="14" s="1"/>
  <c r="V76" i="14" s="1"/>
  <c r="BS76" i="14"/>
  <c r="BR77" i="14"/>
  <c r="U79" i="14"/>
  <c r="V79" i="14" s="1"/>
  <c r="BM81" i="14"/>
  <c r="BR81" i="14" s="1"/>
  <c r="BT81" i="14" s="1"/>
  <c r="BP82" i="14"/>
  <c r="BT82" i="14" s="1"/>
  <c r="BK82" i="14"/>
  <c r="BO82" i="14" s="1"/>
  <c r="BJ82" i="14"/>
  <c r="BS87" i="14"/>
  <c r="BN87" i="14"/>
  <c r="BK90" i="14"/>
  <c r="BO90" i="14" s="1"/>
  <c r="BJ90" i="14"/>
  <c r="BQ64" i="14"/>
  <c r="BK64" i="14"/>
  <c r="BO64" i="14" s="1"/>
  <c r="U65" i="14"/>
  <c r="V65" i="14" s="1"/>
  <c r="R66" i="14"/>
  <c r="S68" i="14"/>
  <c r="U69" i="14"/>
  <c r="V69" i="14" s="1"/>
  <c r="S70" i="14"/>
  <c r="U71" i="14"/>
  <c r="V71" i="14" s="1"/>
  <c r="BH71" i="14"/>
  <c r="BQ72" i="14"/>
  <c r="BQ73" i="14"/>
  <c r="BT73" i="14" s="1"/>
  <c r="R75" i="14"/>
  <c r="BQ75" i="14"/>
  <c r="R77" i="14"/>
  <c r="BQ77" i="14"/>
  <c r="BM84" i="14"/>
  <c r="BR84" i="14" s="1"/>
  <c r="BT84" i="14" s="1"/>
  <c r="U68" i="14"/>
  <c r="V68" i="14" s="1"/>
  <c r="U70" i="14"/>
  <c r="V70" i="14" s="1"/>
  <c r="BF72" i="14"/>
  <c r="BJ73" i="14"/>
  <c r="BF74" i="14"/>
  <c r="BF75" i="14"/>
  <c r="BF76" i="14"/>
  <c r="BF77" i="14"/>
  <c r="BM79" i="14"/>
  <c r="BO79" i="14" s="1"/>
  <c r="BP80" i="14"/>
  <c r="BT80" i="14" s="1"/>
  <c r="BK80" i="14"/>
  <c r="BO80" i="14" s="1"/>
  <c r="BJ80" i="14"/>
  <c r="U81" i="14"/>
  <c r="V81" i="14" s="1"/>
  <c r="BN86" i="14"/>
  <c r="BS86" i="14" s="1"/>
  <c r="R87" i="14"/>
  <c r="T87" i="14" s="1"/>
  <c r="BP87" i="14"/>
  <c r="BT87" i="14" s="1"/>
  <c r="BK87" i="14"/>
  <c r="BO87" i="14" s="1"/>
  <c r="BJ87" i="14"/>
  <c r="BS90" i="14"/>
  <c r="BN90" i="14"/>
  <c r="R91" i="14"/>
  <c r="T91" i="14" s="1"/>
  <c r="BK91" i="14"/>
  <c r="BJ91" i="14"/>
  <c r="R93" i="14"/>
  <c r="T93" i="14" s="1"/>
  <c r="BQ93" i="14"/>
  <c r="BL93" i="14"/>
  <c r="BJ81" i="14"/>
  <c r="BO81" i="14"/>
  <c r="T84" i="14"/>
  <c r="BJ84" i="14"/>
  <c r="BO84" i="14"/>
  <c r="T86" i="14"/>
  <c r="R88" i="14"/>
  <c r="S88" i="14" s="1"/>
  <c r="BK88" i="14"/>
  <c r="BJ88" i="14"/>
  <c r="BM89" i="14"/>
  <c r="BR89" i="14" s="1"/>
  <c r="BF78" i="14"/>
  <c r="T79" i="14"/>
  <c r="S79" i="14"/>
  <c r="BJ79" i="14"/>
  <c r="BM83" i="14"/>
  <c r="BO83" i="14" s="1"/>
  <c r="BB103" i="14"/>
  <c r="BB104" i="14" s="1"/>
  <c r="BR87" i="14"/>
  <c r="T89" i="14"/>
  <c r="S89" i="14"/>
  <c r="R89" i="14"/>
  <c r="BK89" i="14"/>
  <c r="BP89" i="14" s="1"/>
  <c r="BJ89" i="14"/>
  <c r="BM90" i="14"/>
  <c r="BR90" i="14" s="1"/>
  <c r="BR91" i="14"/>
  <c r="BS97" i="14"/>
  <c r="U80" i="14"/>
  <c r="V80" i="14" s="1"/>
  <c r="S81" i="14"/>
  <c r="U82" i="14"/>
  <c r="V82" i="14" s="1"/>
  <c r="S83" i="14"/>
  <c r="U83" i="14" s="1"/>
  <c r="V83" i="14" s="1"/>
  <c r="U84" i="14"/>
  <c r="V84" i="14" s="1"/>
  <c r="S86" i="14"/>
  <c r="AY103" i="14"/>
  <c r="BF86" i="14"/>
  <c r="S92" i="14"/>
  <c r="U92" i="14" s="1"/>
  <c r="V92" i="14" s="1"/>
  <c r="BF92" i="14"/>
  <c r="BQ92" i="14"/>
  <c r="BL97" i="14"/>
  <c r="BQ97" i="14" s="1"/>
  <c r="R100" i="14"/>
  <c r="U100" i="14" s="1"/>
  <c r="V100" i="14" s="1"/>
  <c r="BQ101" i="14"/>
  <c r="BT101" i="14" s="1"/>
  <c r="T81" i="14"/>
  <c r="T83" i="14"/>
  <c r="BN83" i="14"/>
  <c r="BS83" i="14" s="1"/>
  <c r="AZ103" i="14"/>
  <c r="BI94" i="14"/>
  <c r="BH94" i="14"/>
  <c r="BG94" i="14"/>
  <c r="BF94" i="14"/>
  <c r="BI95" i="14"/>
  <c r="BH95" i="14"/>
  <c r="BG95" i="14"/>
  <c r="BF95" i="14"/>
  <c r="BI96" i="14"/>
  <c r="BH96" i="14"/>
  <c r="BG96" i="14"/>
  <c r="BF96" i="14"/>
  <c r="BJ97" i="14"/>
  <c r="BK97" i="14"/>
  <c r="BO97" i="14" s="1"/>
  <c r="E43" i="16"/>
  <c r="P36" i="3" s="1"/>
  <c r="J103" i="14"/>
  <c r="BH86" i="14"/>
  <c r="T92" i="14"/>
  <c r="BI93" i="14"/>
  <c r="BI103" i="14" s="1"/>
  <c r="BH93" i="14"/>
  <c r="BF93" i="14"/>
  <c r="U94" i="14"/>
  <c r="V94" i="14" s="1"/>
  <c r="BM97" i="14"/>
  <c r="BR97" i="14" s="1"/>
  <c r="U98" i="14"/>
  <c r="V98" i="14" s="1"/>
  <c r="U99" i="14"/>
  <c r="V99" i="14" s="1"/>
  <c r="BF99" i="14"/>
  <c r="BR99" i="14"/>
  <c r="R101" i="14"/>
  <c r="S101" i="14" s="1"/>
  <c r="BM102" i="14"/>
  <c r="BR102" i="14"/>
  <c r="AC117" i="14"/>
  <c r="X114" i="14"/>
  <c r="T94" i="14"/>
  <c r="T95" i="14"/>
  <c r="U95" i="14" s="1"/>
  <c r="V95" i="14" s="1"/>
  <c r="T96" i="14"/>
  <c r="U96" i="14" s="1"/>
  <c r="V96" i="14" s="1"/>
  <c r="T97" i="14"/>
  <c r="U97" i="14" s="1"/>
  <c r="V97" i="14" s="1"/>
  <c r="T98" i="14"/>
  <c r="BG99" i="14"/>
  <c r="BS100" i="14"/>
  <c r="BN100" i="14"/>
  <c r="L101" i="14"/>
  <c r="BL101" i="14"/>
  <c r="BO101" i="14" s="1"/>
  <c r="AL115" i="14"/>
  <c r="AM115" i="14"/>
  <c r="AE115" i="14"/>
  <c r="AE117" i="14" s="1"/>
  <c r="AD115" i="14"/>
  <c r="AD117" i="14" s="1"/>
  <c r="T99" i="14"/>
  <c r="BI99" i="14"/>
  <c r="T100" i="14"/>
  <c r="BK100" i="14"/>
  <c r="BO100" i="14" s="1"/>
  <c r="BJ100" i="14"/>
  <c r="T101" i="14"/>
  <c r="AN115" i="14"/>
  <c r="S100" i="14"/>
  <c r="BR101" i="14"/>
  <c r="BM101" i="14"/>
  <c r="BS101" i="14"/>
  <c r="S102" i="14"/>
  <c r="BF102" i="14"/>
  <c r="Y117" i="14"/>
  <c r="BL102" i="14"/>
  <c r="BQ102" i="14" s="1"/>
  <c r="W11" i="17"/>
  <c r="W12" i="17" s="1"/>
  <c r="P54" i="4" s="1"/>
  <c r="I43" i="17"/>
  <c r="BJ101" i="14"/>
  <c r="L102" i="14"/>
  <c r="R102" i="14" s="1"/>
  <c r="BN102" i="14"/>
  <c r="BS102" i="14" s="1"/>
  <c r="AN116" i="14"/>
  <c r="AA116" i="14"/>
  <c r="AB116" i="14" s="1"/>
  <c r="AM116" i="14"/>
  <c r="F17" i="15"/>
  <c r="I42" i="17"/>
  <c r="Q295" i="4" l="1"/>
  <c r="H295" i="4" s="1"/>
  <c r="N87" i="4"/>
  <c r="X281" i="4"/>
  <c r="R292" i="4"/>
  <c r="P283" i="4"/>
  <c r="G283" i="4" s="1"/>
  <c r="Q307" i="4"/>
  <c r="H307" i="4" s="1"/>
  <c r="G100" i="2" s="1"/>
  <c r="R58" i="4"/>
  <c r="I8" i="3"/>
  <c r="F16" i="3"/>
  <c r="F376" i="4" s="1"/>
  <c r="R64" i="4"/>
  <c r="R339" i="4"/>
  <c r="N283" i="4"/>
  <c r="E283" i="4" s="1"/>
  <c r="Q74" i="4"/>
  <c r="H74" i="4" s="1"/>
  <c r="O74" i="4"/>
  <c r="F74" i="4" s="1"/>
  <c r="H21" i="2"/>
  <c r="G34" i="2"/>
  <c r="X90" i="4"/>
  <c r="O271" i="4"/>
  <c r="F271" i="4" s="1"/>
  <c r="X293" i="4"/>
  <c r="R304" i="4"/>
  <c r="R301" i="4"/>
  <c r="J21" i="2"/>
  <c r="J24" i="3"/>
  <c r="K24" i="3" s="1"/>
  <c r="X81" i="4"/>
  <c r="X278" i="4"/>
  <c r="E16" i="2"/>
  <c r="E11" i="2" s="1"/>
  <c r="E34" i="2" s="1"/>
  <c r="R314" i="4"/>
  <c r="Q87" i="4"/>
  <c r="H87" i="4" s="1"/>
  <c r="R280" i="4"/>
  <c r="I12" i="3"/>
  <c r="J12" i="3" s="1"/>
  <c r="K12" i="3" s="1"/>
  <c r="P295" i="4"/>
  <c r="G295" i="4" s="1"/>
  <c r="R256" i="4"/>
  <c r="G16" i="3"/>
  <c r="G376" i="4" s="1"/>
  <c r="R318" i="4"/>
  <c r="E338" i="4"/>
  <c r="R338" i="4"/>
  <c r="R335" i="4"/>
  <c r="R89" i="4"/>
  <c r="U384" i="4"/>
  <c r="Q388" i="4"/>
  <c r="R83" i="4"/>
  <c r="H14" i="2"/>
  <c r="H12" i="2" s="1"/>
  <c r="F12" i="2"/>
  <c r="F11" i="2" s="1"/>
  <c r="F34" i="2" s="1"/>
  <c r="AD97" i="14"/>
  <c r="AK97" i="14"/>
  <c r="AN97" i="14"/>
  <c r="AJ97" i="14"/>
  <c r="AB97" i="14"/>
  <c r="AL97" i="14" s="1"/>
  <c r="AR97" i="14" s="1"/>
  <c r="AW97" i="14" s="1"/>
  <c r="AM97" i="14"/>
  <c r="AI97" i="14"/>
  <c r="AQ97" i="14" s="1"/>
  <c r="AV97" i="14" s="1"/>
  <c r="AD56" i="14"/>
  <c r="AN56" i="14"/>
  <c r="AB56" i="14"/>
  <c r="AK56" i="14" s="1"/>
  <c r="AM56" i="14"/>
  <c r="AB43" i="14"/>
  <c r="AD43" i="14" s="1"/>
  <c r="H373" i="4"/>
  <c r="G54" i="2"/>
  <c r="AG59" i="14"/>
  <c r="AJ59" i="14"/>
  <c r="AF59" i="14"/>
  <c r="AK59" i="14" s="1"/>
  <c r="AI59" i="14"/>
  <c r="AH59" i="14"/>
  <c r="V26" i="14"/>
  <c r="F73" i="2"/>
  <c r="F72" i="2" s="1"/>
  <c r="AG61" i="14"/>
  <c r="AJ61" i="14"/>
  <c r="AF61" i="14"/>
  <c r="AP61" i="14" s="1"/>
  <c r="AI61" i="14"/>
  <c r="AH61" i="14"/>
  <c r="AK45" i="14"/>
  <c r="AG45" i="14"/>
  <c r="AJ45" i="14"/>
  <c r="AI45" i="14"/>
  <c r="AH45" i="14"/>
  <c r="AF45" i="14"/>
  <c r="AG92" i="14"/>
  <c r="AC92" i="14"/>
  <c r="AL92" i="14"/>
  <c r="AJ92" i="14"/>
  <c r="AE92" i="14"/>
  <c r="AN92" i="14"/>
  <c r="AD92" i="14"/>
  <c r="AM92" i="14"/>
  <c r="AH92" i="14"/>
  <c r="AB92" i="14"/>
  <c r="AK92" i="14" s="1"/>
  <c r="AL95" i="14"/>
  <c r="AG95" i="14"/>
  <c r="AF95" i="14"/>
  <c r="AB95" i="14"/>
  <c r="AH95" i="14" s="1"/>
  <c r="AE95" i="14"/>
  <c r="AG83" i="14"/>
  <c r="AJ83" i="14"/>
  <c r="AF83" i="14"/>
  <c r="AP83" i="14" s="1"/>
  <c r="AI83" i="14"/>
  <c r="AH83" i="14"/>
  <c r="BT89" i="14"/>
  <c r="AK37" i="14"/>
  <c r="AN37" i="14"/>
  <c r="AJ37" i="14"/>
  <c r="AB37" i="14"/>
  <c r="AG37" i="14" s="1"/>
  <c r="AM37" i="14"/>
  <c r="AI37" i="14"/>
  <c r="AQ37" i="14" s="1"/>
  <c r="AV37" i="14" s="1"/>
  <c r="AL37" i="14"/>
  <c r="AH37" i="14"/>
  <c r="AD37" i="14"/>
  <c r="AF23" i="14"/>
  <c r="AB23" i="14"/>
  <c r="AN23" i="14" s="1"/>
  <c r="AE23" i="14"/>
  <c r="AH23" i="14"/>
  <c r="AD23" i="14"/>
  <c r="AK23" i="14"/>
  <c r="BT30" i="14"/>
  <c r="AG76" i="14"/>
  <c r="AC76" i="14"/>
  <c r="AM76" i="14"/>
  <c r="AE76" i="14"/>
  <c r="AH76" i="14"/>
  <c r="AN76" i="14"/>
  <c r="AL76" i="14"/>
  <c r="AD76" i="14"/>
  <c r="AJ76" i="14"/>
  <c r="AB76" i="14"/>
  <c r="AK76" i="14" s="1"/>
  <c r="G97" i="2"/>
  <c r="AL96" i="14"/>
  <c r="AD96" i="14"/>
  <c r="AK96" i="14"/>
  <c r="AG96" i="14"/>
  <c r="AN96" i="14"/>
  <c r="AJ96" i="14"/>
  <c r="AF96" i="14"/>
  <c r="AB96" i="14"/>
  <c r="AH96" i="14" s="1"/>
  <c r="AM96" i="14"/>
  <c r="AI96" i="14"/>
  <c r="AQ96" i="14" s="1"/>
  <c r="AV96" i="14" s="1"/>
  <c r="AE96" i="14"/>
  <c r="AB100" i="14"/>
  <c r="AN100" i="14" s="1"/>
  <c r="AG73" i="14"/>
  <c r="AC73" i="14"/>
  <c r="AM73" i="14"/>
  <c r="AE73" i="14"/>
  <c r="AH73" i="14"/>
  <c r="AN73" i="14"/>
  <c r="AL73" i="14"/>
  <c r="AR73" i="14" s="1"/>
  <c r="AW73" i="14" s="1"/>
  <c r="AD73" i="14"/>
  <c r="AJ73" i="14"/>
  <c r="AB73" i="14"/>
  <c r="AK73" i="14" s="1"/>
  <c r="U51" i="14"/>
  <c r="V51" i="14" s="1"/>
  <c r="AK90" i="14"/>
  <c r="AG90" i="14"/>
  <c r="AN90" i="14"/>
  <c r="AJ90" i="14"/>
  <c r="AF90" i="14"/>
  <c r="AP90" i="14" s="1"/>
  <c r="AU90" i="14" s="1"/>
  <c r="AB90" i="14"/>
  <c r="AC90" i="14" s="1"/>
  <c r="AO90" i="14" s="1"/>
  <c r="AM90" i="14"/>
  <c r="AI90" i="14"/>
  <c r="AQ90" i="14" s="1"/>
  <c r="AV90" i="14" s="1"/>
  <c r="AE90" i="14"/>
  <c r="AH90" i="14"/>
  <c r="AD90" i="14"/>
  <c r="AL90" i="14"/>
  <c r="AR90" i="14" s="1"/>
  <c r="AW90" i="14" s="1"/>
  <c r="AH52" i="14"/>
  <c r="AG52" i="14"/>
  <c r="AJ52" i="14"/>
  <c r="AI52" i="14"/>
  <c r="AF52" i="14"/>
  <c r="BT35" i="14"/>
  <c r="AB21" i="14"/>
  <c r="AN21" i="14" s="1"/>
  <c r="AL21" i="14"/>
  <c r="AH21" i="14"/>
  <c r="V7" i="14"/>
  <c r="AB19" i="14"/>
  <c r="AN19" i="14" s="1"/>
  <c r="AE19" i="14"/>
  <c r="AL117" i="14"/>
  <c r="AA115" i="14"/>
  <c r="AA117" i="14" s="1"/>
  <c r="AB99" i="14"/>
  <c r="AG99" i="14" s="1"/>
  <c r="BM94" i="14"/>
  <c r="BR94" i="14" s="1"/>
  <c r="AI80" i="14"/>
  <c r="AH80" i="14"/>
  <c r="AG80" i="14"/>
  <c r="AJ80" i="14"/>
  <c r="AF80" i="14"/>
  <c r="AP80" i="14" s="1"/>
  <c r="BJ76" i="14"/>
  <c r="BK76" i="14"/>
  <c r="BO76" i="14" s="1"/>
  <c r="AG69" i="14"/>
  <c r="AI69" i="14"/>
  <c r="AJ69" i="14"/>
  <c r="AH69" i="14"/>
  <c r="AK69" i="14" s="1"/>
  <c r="AF69" i="14"/>
  <c r="BL71" i="14"/>
  <c r="BQ71" i="14" s="1"/>
  <c r="BP31" i="14"/>
  <c r="BK31" i="14"/>
  <c r="BJ31" i="14"/>
  <c r="BT36" i="14"/>
  <c r="BL20" i="14"/>
  <c r="BQ20" i="14"/>
  <c r="R265" i="4"/>
  <c r="N264" i="4"/>
  <c r="P388" i="4"/>
  <c r="P74" i="4"/>
  <c r="G74" i="4" s="1"/>
  <c r="R16" i="4"/>
  <c r="E16" i="4"/>
  <c r="I119" i="4"/>
  <c r="D61" i="2"/>
  <c r="BQ10" i="14"/>
  <c r="BL10" i="14"/>
  <c r="BN99" i="14"/>
  <c r="BS99" i="14" s="1"/>
  <c r="AC98" i="14"/>
  <c r="AB98" i="14"/>
  <c r="AM98" i="14" s="1"/>
  <c r="AL98" i="14"/>
  <c r="AE98" i="14"/>
  <c r="AN98" i="14"/>
  <c r="BP97" i="14"/>
  <c r="BT97" i="14" s="1"/>
  <c r="S91" i="14"/>
  <c r="U91" i="14" s="1"/>
  <c r="V91" i="14" s="1"/>
  <c r="BJ75" i="14"/>
  <c r="BK75" i="14"/>
  <c r="BO75" i="14" s="1"/>
  <c r="U75" i="14"/>
  <c r="V75" i="14" s="1"/>
  <c r="S75" i="14"/>
  <c r="BN71" i="14"/>
  <c r="BS71" i="14" s="1"/>
  <c r="AG67" i="14"/>
  <c r="AF67" i="14"/>
  <c r="AJ67" i="14"/>
  <c r="AI67" i="14"/>
  <c r="AK67" i="14" s="1"/>
  <c r="AH67" i="14"/>
  <c r="BP66" i="14"/>
  <c r="BT66" i="14" s="1"/>
  <c r="BR53" i="14"/>
  <c r="BT53" i="14" s="1"/>
  <c r="U44" i="14"/>
  <c r="V44" i="14" s="1"/>
  <c r="S44" i="14"/>
  <c r="BO58" i="14"/>
  <c r="AK40" i="14"/>
  <c r="AG40" i="14"/>
  <c r="AN40" i="14"/>
  <c r="AJ40" i="14"/>
  <c r="AF40" i="14"/>
  <c r="AP40" i="14" s="1"/>
  <c r="AU40" i="14" s="1"/>
  <c r="AB40" i="14"/>
  <c r="AC40" i="14" s="1"/>
  <c r="AO40" i="14" s="1"/>
  <c r="AM40" i="14"/>
  <c r="AI40" i="14"/>
  <c r="AQ40" i="14" s="1"/>
  <c r="AV40" i="14" s="1"/>
  <c r="AE40" i="14"/>
  <c r="AH40" i="14"/>
  <c r="AD40" i="14"/>
  <c r="AL40" i="14"/>
  <c r="AR40" i="14" s="1"/>
  <c r="AW40" i="14" s="1"/>
  <c r="BL32" i="14"/>
  <c r="BQ32" i="14" s="1"/>
  <c r="BK21" i="14"/>
  <c r="BO21" i="14" s="1"/>
  <c r="BJ21" i="14"/>
  <c r="S62" i="14"/>
  <c r="AG57" i="14"/>
  <c r="AK57" i="14" s="1"/>
  <c r="AJ57" i="14"/>
  <c r="AF57" i="14"/>
  <c r="AI57" i="14"/>
  <c r="AH57" i="14"/>
  <c r="BS56" i="14"/>
  <c r="BN56" i="14"/>
  <c r="S46" i="14"/>
  <c r="U46" i="14" s="1"/>
  <c r="V46" i="14" s="1"/>
  <c r="AL36" i="14"/>
  <c r="AK36" i="14"/>
  <c r="AG36" i="14"/>
  <c r="AJ36" i="14"/>
  <c r="AF36" i="14"/>
  <c r="AB36" i="14"/>
  <c r="AH36" i="14" s="1"/>
  <c r="AI36" i="14"/>
  <c r="AQ36" i="14" s="1"/>
  <c r="AV36" i="14" s="1"/>
  <c r="AE36" i="14"/>
  <c r="BP33" i="14"/>
  <c r="BT33" i="14" s="1"/>
  <c r="S32" i="14"/>
  <c r="U32" i="14" s="1"/>
  <c r="V32" i="14" s="1"/>
  <c r="U30" i="14"/>
  <c r="V30" i="14" s="1"/>
  <c r="AT29" i="14"/>
  <c r="BR26" i="14"/>
  <c r="BM26" i="14"/>
  <c r="BS22" i="14"/>
  <c r="T33" i="14"/>
  <c r="T30" i="14"/>
  <c r="BN29" i="14"/>
  <c r="BS29" i="14" s="1"/>
  <c r="BM28" i="14"/>
  <c r="BR28" i="14" s="1"/>
  <c r="BT24" i="14"/>
  <c r="BM20" i="14"/>
  <c r="BR20" i="14"/>
  <c r="AZ104" i="14"/>
  <c r="BN44" i="14"/>
  <c r="BS44" i="14" s="1"/>
  <c r="S24" i="14"/>
  <c r="U24" i="14" s="1"/>
  <c r="V24" i="14" s="1"/>
  <c r="BK7" i="14"/>
  <c r="BJ7" i="14"/>
  <c r="BF25" i="14"/>
  <c r="BO38" i="14"/>
  <c r="S15" i="14"/>
  <c r="K369" i="4"/>
  <c r="J108" i="2" s="1"/>
  <c r="I108" i="2"/>
  <c r="P331" i="4"/>
  <c r="P326" i="4" s="1"/>
  <c r="G326" i="4" s="1"/>
  <c r="F101" i="2" s="1"/>
  <c r="F99" i="2" s="1"/>
  <c r="R332" i="4"/>
  <c r="N331" i="4"/>
  <c r="BJ9" i="14"/>
  <c r="BP9" i="14"/>
  <c r="BK9" i="14"/>
  <c r="K365" i="4"/>
  <c r="J107" i="2" s="1"/>
  <c r="I107" i="2"/>
  <c r="BO18" i="14"/>
  <c r="S16" i="14"/>
  <c r="U16" i="14" s="1"/>
  <c r="V16" i="14" s="1"/>
  <c r="S9" i="14"/>
  <c r="U9" i="14" s="1"/>
  <c r="V9" i="14" s="1"/>
  <c r="R352" i="4"/>
  <c r="N351" i="4"/>
  <c r="R351" i="4" s="1"/>
  <c r="R196" i="4"/>
  <c r="E196" i="4"/>
  <c r="N111" i="4"/>
  <c r="R111" i="4" s="1"/>
  <c r="R114" i="4"/>
  <c r="E87" i="4"/>
  <c r="BP14" i="14"/>
  <c r="BT14" i="14" s="1"/>
  <c r="J307" i="4"/>
  <c r="P271" i="4"/>
  <c r="G271" i="4" s="1"/>
  <c r="J378" i="4"/>
  <c r="I21" i="2"/>
  <c r="BO15" i="14"/>
  <c r="R297" i="4"/>
  <c r="N295" i="4"/>
  <c r="R57" i="4"/>
  <c r="O33" i="4"/>
  <c r="R35" i="4"/>
  <c r="T384" i="4"/>
  <c r="E84" i="2" s="1"/>
  <c r="H66" i="2"/>
  <c r="BQ17" i="14"/>
  <c r="BT17" i="14" s="1"/>
  <c r="BM10" i="14"/>
  <c r="BR10" i="14"/>
  <c r="BO8" i="14"/>
  <c r="Q283" i="4"/>
  <c r="H283" i="4" s="1"/>
  <c r="R184" i="4"/>
  <c r="P87" i="4"/>
  <c r="G87" i="4" s="1"/>
  <c r="F54" i="2"/>
  <c r="F57" i="2"/>
  <c r="I11" i="4"/>
  <c r="J11" i="4" s="1"/>
  <c r="O295" i="4"/>
  <c r="F295" i="4" s="1"/>
  <c r="E376" i="4"/>
  <c r="AE14" i="14"/>
  <c r="AF14" i="14"/>
  <c r="AP14" i="14" s="1"/>
  <c r="AU14" i="14" s="1"/>
  <c r="AG14" i="14"/>
  <c r="R137" i="4"/>
  <c r="AL94" i="14"/>
  <c r="AG94" i="14"/>
  <c r="AB94" i="14"/>
  <c r="AH94" i="14" s="1"/>
  <c r="AI94" i="14"/>
  <c r="AM94" i="14"/>
  <c r="AE94" i="14"/>
  <c r="BP78" i="14"/>
  <c r="BT78" i="14" s="1"/>
  <c r="BK78" i="14"/>
  <c r="BO78" i="14" s="1"/>
  <c r="BJ78" i="14"/>
  <c r="BN103" i="14"/>
  <c r="BJ72" i="14"/>
  <c r="BK72" i="14"/>
  <c r="BO72" i="14" s="1"/>
  <c r="AL71" i="14"/>
  <c r="AR71" i="14" s="1"/>
  <c r="AW71" i="14" s="1"/>
  <c r="AH71" i="14"/>
  <c r="AN71" i="14"/>
  <c r="AJ71" i="14"/>
  <c r="AF71" i="14"/>
  <c r="AP71" i="14" s="1"/>
  <c r="AU71" i="14" s="1"/>
  <c r="AB71" i="14"/>
  <c r="AD71" i="14" s="1"/>
  <c r="AK71" i="14"/>
  <c r="AC71" i="14"/>
  <c r="AI71" i="14"/>
  <c r="AG71" i="14"/>
  <c r="AM71" i="14"/>
  <c r="AE71" i="14"/>
  <c r="BL98" i="14"/>
  <c r="BQ98" i="14" s="1"/>
  <c r="BT61" i="14"/>
  <c r="AP72" i="14"/>
  <c r="AU72" i="14" s="1"/>
  <c r="BT55" i="14"/>
  <c r="BI85" i="14"/>
  <c r="BI104" i="14" s="1"/>
  <c r="BN26" i="14"/>
  <c r="BS26" i="14"/>
  <c r="AG63" i="14"/>
  <c r="AJ63" i="14"/>
  <c r="AF63" i="14"/>
  <c r="AP63" i="14" s="1"/>
  <c r="AI63" i="14"/>
  <c r="AH63" i="14"/>
  <c r="BM56" i="14"/>
  <c r="BR56" i="14"/>
  <c r="AT28" i="14"/>
  <c r="BJ39" i="14"/>
  <c r="BP39" i="14"/>
  <c r="BT39" i="14" s="1"/>
  <c r="BK39" i="14"/>
  <c r="BO39" i="14" s="1"/>
  <c r="BM29" i="14"/>
  <c r="BR29" i="14"/>
  <c r="BQ28" i="14"/>
  <c r="BL28" i="14"/>
  <c r="BG85" i="14"/>
  <c r="BL11" i="14"/>
  <c r="BQ11" i="14"/>
  <c r="O283" i="4"/>
  <c r="F283" i="4" s="1"/>
  <c r="R285" i="4"/>
  <c r="E212" i="4"/>
  <c r="R212" i="4"/>
  <c r="F125" i="4"/>
  <c r="R125" i="4"/>
  <c r="AK11" i="14"/>
  <c r="AG11" i="14"/>
  <c r="AN11" i="14"/>
  <c r="AJ11" i="14"/>
  <c r="AF11" i="14"/>
  <c r="AB11" i="14"/>
  <c r="AC11" i="14" s="1"/>
  <c r="AO11" i="14" s="1"/>
  <c r="AM11" i="14"/>
  <c r="AI11" i="14"/>
  <c r="AQ11" i="14" s="1"/>
  <c r="AV11" i="14" s="1"/>
  <c r="AE11" i="14"/>
  <c r="AL11" i="14"/>
  <c r="AH11" i="14"/>
  <c r="AD11" i="14"/>
  <c r="I15" i="4"/>
  <c r="E55" i="2"/>
  <c r="H55" i="2" s="1"/>
  <c r="R328" i="4"/>
  <c r="N327" i="4"/>
  <c r="N388" i="4" s="1"/>
  <c r="BL99" i="14"/>
  <c r="BQ99" i="14" s="1"/>
  <c r="BP93" i="14"/>
  <c r="BK93" i="14"/>
  <c r="BJ93" i="14"/>
  <c r="BK95" i="14"/>
  <c r="BO95" i="14" s="1"/>
  <c r="BJ95" i="14"/>
  <c r="BF103" i="14"/>
  <c r="BK86" i="14"/>
  <c r="BP86" i="14" s="1"/>
  <c r="BJ86" i="14"/>
  <c r="AG81" i="14"/>
  <c r="AJ81" i="14"/>
  <c r="AF81" i="14"/>
  <c r="AK81" i="14" s="1"/>
  <c r="AI81" i="14"/>
  <c r="AH81" i="14"/>
  <c r="U77" i="14"/>
  <c r="V77" i="14" s="1"/>
  <c r="S77" i="14"/>
  <c r="AG65" i="14"/>
  <c r="AI65" i="14"/>
  <c r="AH65" i="14"/>
  <c r="AF65" i="14"/>
  <c r="AJ65" i="14"/>
  <c r="BK47" i="14"/>
  <c r="BO47" i="14" s="1"/>
  <c r="BJ47" i="14"/>
  <c r="BP47" i="14"/>
  <c r="BT47" i="14" s="1"/>
  <c r="BS65" i="14"/>
  <c r="BT65" i="14" s="1"/>
  <c r="AN117" i="14"/>
  <c r="AM117" i="14"/>
  <c r="U101" i="14"/>
  <c r="V101" i="14" s="1"/>
  <c r="BM93" i="14"/>
  <c r="BR93" i="14" s="1"/>
  <c r="BH103" i="14"/>
  <c r="BM86" i="14"/>
  <c r="BM103" i="14" s="1"/>
  <c r="E44" i="16"/>
  <c r="BM96" i="14"/>
  <c r="BR96" i="14"/>
  <c r="BQ95" i="14"/>
  <c r="BL95" i="14"/>
  <c r="BK94" i="14"/>
  <c r="BJ94" i="14"/>
  <c r="BG103" i="14"/>
  <c r="AI82" i="14"/>
  <c r="AH82" i="14"/>
  <c r="AK82" i="14"/>
  <c r="AG82" i="14"/>
  <c r="AJ82" i="14"/>
  <c r="AF82" i="14"/>
  <c r="AP82" i="14" s="1"/>
  <c r="U88" i="14"/>
  <c r="V88" i="14" s="1"/>
  <c r="BO88" i="14"/>
  <c r="T88" i="14"/>
  <c r="T103" i="14" s="1"/>
  <c r="S93" i="14"/>
  <c r="U93" i="14" s="1"/>
  <c r="V93" i="14" s="1"/>
  <c r="BO91" i="14"/>
  <c r="S87" i="14"/>
  <c r="BR79" i="14"/>
  <c r="BT79" i="14" s="1"/>
  <c r="BP74" i="14"/>
  <c r="BT74" i="14" s="1"/>
  <c r="BJ74" i="14"/>
  <c r="BK74" i="14"/>
  <c r="BO74" i="14" s="1"/>
  <c r="AI68" i="14"/>
  <c r="AG68" i="14"/>
  <c r="AJ68" i="14"/>
  <c r="AH68" i="14"/>
  <c r="AF68" i="14"/>
  <c r="AP68" i="14" s="1"/>
  <c r="T77" i="14"/>
  <c r="T75" i="14"/>
  <c r="BP90" i="14"/>
  <c r="BT90" i="14" s="1"/>
  <c r="S78" i="14"/>
  <c r="U78" i="14" s="1"/>
  <c r="V78" i="14" s="1"/>
  <c r="BK46" i="14"/>
  <c r="BO46" i="14" s="1"/>
  <c r="BJ46" i="14"/>
  <c r="BP46" i="14"/>
  <c r="BT46" i="14" s="1"/>
  <c r="BR98" i="14"/>
  <c r="BM98" i="14"/>
  <c r="T78" i="14"/>
  <c r="T74" i="14"/>
  <c r="U74" i="14" s="1"/>
  <c r="V74" i="14" s="1"/>
  <c r="BT63" i="14"/>
  <c r="BT59" i="14"/>
  <c r="BP52" i="14"/>
  <c r="BT52" i="14" s="1"/>
  <c r="T46" i="14"/>
  <c r="BK43" i="14"/>
  <c r="BJ43" i="14"/>
  <c r="L85" i="14"/>
  <c r="AD27" i="14"/>
  <c r="R27" i="14"/>
  <c r="R85" i="14" s="1"/>
  <c r="BP62" i="14"/>
  <c r="BT62" i="14" s="1"/>
  <c r="BP60" i="14"/>
  <c r="BT60" i="14" s="1"/>
  <c r="BP58" i="14"/>
  <c r="BT58" i="14" s="1"/>
  <c r="U48" i="14"/>
  <c r="V48" i="14" s="1"/>
  <c r="T44" i="14"/>
  <c r="AI39" i="14"/>
  <c r="AE39" i="14"/>
  <c r="AL39" i="14"/>
  <c r="AD39" i="14"/>
  <c r="AK39" i="14"/>
  <c r="AG39" i="14"/>
  <c r="AN39" i="14"/>
  <c r="AJ39" i="14"/>
  <c r="AF39" i="14"/>
  <c r="AB39" i="14"/>
  <c r="AM39" i="14" s="1"/>
  <c r="BL31" i="14"/>
  <c r="BQ31" i="14"/>
  <c r="AE27" i="14"/>
  <c r="AH72" i="14"/>
  <c r="AL72" i="14"/>
  <c r="AR72" i="14" s="1"/>
  <c r="AW72" i="14" s="1"/>
  <c r="AC72" i="14"/>
  <c r="AO72" i="14" s="1"/>
  <c r="S64" i="14"/>
  <c r="BK56" i="14"/>
  <c r="BJ56" i="14"/>
  <c r="S53" i="14"/>
  <c r="U53" i="14" s="1"/>
  <c r="V53" i="14" s="1"/>
  <c r="BT45" i="14"/>
  <c r="S47" i="14"/>
  <c r="U47" i="14" s="1"/>
  <c r="V47" i="14" s="1"/>
  <c r="S34" i="14"/>
  <c r="U34" i="14" s="1"/>
  <c r="V34" i="14" s="1"/>
  <c r="AE32" i="14"/>
  <c r="T32" i="14"/>
  <c r="AD32" i="14"/>
  <c r="AO32" i="14" s="1"/>
  <c r="S30" i="14"/>
  <c r="U28" i="14"/>
  <c r="V28" i="14" s="1"/>
  <c r="BH27" i="14"/>
  <c r="S38" i="14"/>
  <c r="U38" i="14" s="1"/>
  <c r="V38" i="14" s="1"/>
  <c r="W38" i="14" s="1"/>
  <c r="BK29" i="14"/>
  <c r="BJ29" i="14"/>
  <c r="BS28" i="14"/>
  <c r="BN28" i="14"/>
  <c r="R20" i="14"/>
  <c r="L25" i="14"/>
  <c r="BN13" i="14"/>
  <c r="BO13" i="14" s="1"/>
  <c r="BS13" i="14"/>
  <c r="BT13" i="14" s="1"/>
  <c r="BN9" i="14"/>
  <c r="BN25" i="14" s="1"/>
  <c r="S49" i="14"/>
  <c r="U49" i="14" s="1"/>
  <c r="V49" i="14" s="1"/>
  <c r="BR44" i="14"/>
  <c r="BM44" i="14"/>
  <c r="U13" i="14"/>
  <c r="V13" i="14" s="1"/>
  <c r="AY104" i="14"/>
  <c r="BP50" i="14"/>
  <c r="BT50" i="14" s="1"/>
  <c r="BQ38" i="14"/>
  <c r="BT38" i="14" s="1"/>
  <c r="T8" i="14"/>
  <c r="U8" i="14" s="1"/>
  <c r="R342" i="4"/>
  <c r="N341" i="4"/>
  <c r="W384" i="4"/>
  <c r="BO42" i="14"/>
  <c r="BO34" i="14"/>
  <c r="AB10" i="14"/>
  <c r="AD10" i="14" s="1"/>
  <c r="BA104" i="14"/>
  <c r="O331" i="4"/>
  <c r="O326" i="4" s="1"/>
  <c r="F326" i="4" s="1"/>
  <c r="BP18" i="14"/>
  <c r="BT18" i="14" s="1"/>
  <c r="R237" i="4"/>
  <c r="N236" i="4"/>
  <c r="R96" i="4"/>
  <c r="BJ13" i="14"/>
  <c r="R313" i="4"/>
  <c r="N307" i="4"/>
  <c r="J205" i="4"/>
  <c r="R136" i="4"/>
  <c r="E136" i="4"/>
  <c r="O87" i="4"/>
  <c r="F87" i="4" s="1"/>
  <c r="H376" i="4"/>
  <c r="R277" i="4"/>
  <c r="E73" i="2"/>
  <c r="E72" i="2" s="1"/>
  <c r="BS7" i="14"/>
  <c r="Q33" i="4"/>
  <c r="H33" i="4" s="1"/>
  <c r="BS10" i="14"/>
  <c r="BN10" i="14"/>
  <c r="R93" i="4"/>
  <c r="R76" i="4"/>
  <c r="N74" i="4"/>
  <c r="I382" i="4"/>
  <c r="D11" i="2"/>
  <c r="D34" i="2" s="1"/>
  <c r="I13" i="2"/>
  <c r="I12" i="2" s="1"/>
  <c r="K18" i="3"/>
  <c r="J17" i="3"/>
  <c r="H95" i="2"/>
  <c r="AL14" i="14"/>
  <c r="AI14" i="14"/>
  <c r="AJ14" i="14"/>
  <c r="AK14" i="14"/>
  <c r="BK102" i="14"/>
  <c r="BO102" i="14" s="1"/>
  <c r="BJ102" i="14"/>
  <c r="BP96" i="14"/>
  <c r="BK96" i="14"/>
  <c r="BJ96" i="14"/>
  <c r="BS95" i="14"/>
  <c r="BN95" i="14"/>
  <c r="AN84" i="14"/>
  <c r="AJ84" i="14"/>
  <c r="AF84" i="14"/>
  <c r="AM84" i="14"/>
  <c r="AI84" i="14"/>
  <c r="AE84" i="14"/>
  <c r="AL84" i="14"/>
  <c r="AR84" i="14" s="1"/>
  <c r="AW84" i="14" s="1"/>
  <c r="AH84" i="14"/>
  <c r="AD84" i="14"/>
  <c r="AK84" i="14"/>
  <c r="AG84" i="14"/>
  <c r="AC84" i="14"/>
  <c r="T66" i="14"/>
  <c r="S66" i="14"/>
  <c r="U66" i="14" s="1"/>
  <c r="V66" i="14" s="1"/>
  <c r="BK48" i="14"/>
  <c r="BO48" i="14" s="1"/>
  <c r="BJ48" i="14"/>
  <c r="BP48" i="14"/>
  <c r="BT48" i="14" s="1"/>
  <c r="U62" i="14"/>
  <c r="V62" i="14" s="1"/>
  <c r="BO63" i="14"/>
  <c r="BL37" i="14"/>
  <c r="BQ37" i="14"/>
  <c r="AQ72" i="14"/>
  <c r="AV72" i="14" s="1"/>
  <c r="BP37" i="14"/>
  <c r="BK37" i="14"/>
  <c r="BO37" i="14" s="1"/>
  <c r="BJ37" i="14"/>
  <c r="BG25" i="14"/>
  <c r="BG104" i="14" s="1"/>
  <c r="BL7" i="14"/>
  <c r="BL25" i="14" s="1"/>
  <c r="BL44" i="14"/>
  <c r="BQ44" i="14"/>
  <c r="U15" i="14"/>
  <c r="V15" i="14" s="1"/>
  <c r="AN12" i="14"/>
  <c r="AB12" i="14"/>
  <c r="AJ12" i="14" s="1"/>
  <c r="AM12" i="14"/>
  <c r="AL12" i="14"/>
  <c r="AH12" i="14"/>
  <c r="W18" i="14"/>
  <c r="AK12" i="14"/>
  <c r="AG12" i="14"/>
  <c r="K134" i="4"/>
  <c r="I82" i="2"/>
  <c r="BO30" i="14"/>
  <c r="O388" i="4"/>
  <c r="I209" i="4"/>
  <c r="J209" i="4" s="1"/>
  <c r="F67" i="2"/>
  <c r="G204" i="4"/>
  <c r="R209" i="4"/>
  <c r="R36" i="3"/>
  <c r="G112" i="2"/>
  <c r="H112" i="2" s="1"/>
  <c r="H33" i="3"/>
  <c r="I33" i="3" s="1"/>
  <c r="BL96" i="14"/>
  <c r="BQ96" i="14" s="1"/>
  <c r="BS94" i="14"/>
  <c r="BN94" i="14"/>
  <c r="BO89" i="14"/>
  <c r="R103" i="14"/>
  <c r="AI70" i="14"/>
  <c r="AG70" i="14"/>
  <c r="AJ70" i="14"/>
  <c r="AH70" i="14"/>
  <c r="AF70" i="14"/>
  <c r="AJ79" i="14"/>
  <c r="AF79" i="14"/>
  <c r="AP79" i="14" s="1"/>
  <c r="AI79" i="14"/>
  <c r="AH79" i="14"/>
  <c r="AG79" i="14"/>
  <c r="BS98" i="14"/>
  <c r="BN98" i="14"/>
  <c r="U60" i="14"/>
  <c r="V60" i="14" s="1"/>
  <c r="G54" i="4"/>
  <c r="G10" i="4" s="1"/>
  <c r="V54" i="4"/>
  <c r="R54" i="4"/>
  <c r="BP100" i="14"/>
  <c r="BT100" i="14" s="1"/>
  <c r="X115" i="14"/>
  <c r="AB115" i="14" s="1"/>
  <c r="AB114" i="14"/>
  <c r="BK99" i="14"/>
  <c r="BO99" i="14" s="1"/>
  <c r="BJ99" i="14"/>
  <c r="BN93" i="14"/>
  <c r="BS93" i="14"/>
  <c r="BS103" i="14" s="1"/>
  <c r="U86" i="14"/>
  <c r="BS96" i="14"/>
  <c r="BN96" i="14"/>
  <c r="BM95" i="14"/>
  <c r="BR95" i="14"/>
  <c r="BQ94" i="14"/>
  <c r="BL94" i="14"/>
  <c r="T102" i="14"/>
  <c r="U102" i="14" s="1"/>
  <c r="V102" i="14" s="1"/>
  <c r="L103" i="14"/>
  <c r="BP92" i="14"/>
  <c r="BT92" i="14" s="1"/>
  <c r="BK92" i="14"/>
  <c r="BO92" i="14" s="1"/>
  <c r="BJ92" i="14"/>
  <c r="S103" i="14"/>
  <c r="U89" i="14"/>
  <c r="V89" i="14" s="1"/>
  <c r="BR83" i="14"/>
  <c r="BT83" i="14" s="1"/>
  <c r="BP88" i="14"/>
  <c r="BT88" i="14" s="1"/>
  <c r="U87" i="14"/>
  <c r="V87" i="14" s="1"/>
  <c r="BP91" i="14"/>
  <c r="BT91" i="14" s="1"/>
  <c r="BJ77" i="14"/>
  <c r="BK77" i="14"/>
  <c r="BO77" i="14" s="1"/>
  <c r="BM71" i="14"/>
  <c r="BR71" i="14" s="1"/>
  <c r="BK71" i="14"/>
  <c r="BP71" i="14"/>
  <c r="BJ71" i="14"/>
  <c r="AH54" i="14"/>
  <c r="AG54" i="14"/>
  <c r="AK54" i="14" s="1"/>
  <c r="AJ54" i="14"/>
  <c r="AF54" i="14"/>
  <c r="AI54" i="14"/>
  <c r="BK49" i="14"/>
  <c r="BO49" i="14" s="1"/>
  <c r="BJ49" i="14"/>
  <c r="BP98" i="14"/>
  <c r="BJ98" i="14"/>
  <c r="BK98" i="14"/>
  <c r="BO98" i="14" s="1"/>
  <c r="U64" i="14"/>
  <c r="V64" i="14" s="1"/>
  <c r="S55" i="14"/>
  <c r="U55" i="14" s="1"/>
  <c r="V55" i="14" s="1"/>
  <c r="BO51" i="14"/>
  <c r="S35" i="14"/>
  <c r="R35" i="14"/>
  <c r="T35" i="14" s="1"/>
  <c r="BF85" i="14"/>
  <c r="BJ26" i="14"/>
  <c r="BP26" i="14"/>
  <c r="BK26" i="14"/>
  <c r="BP64" i="14"/>
  <c r="BT64" i="14" s="1"/>
  <c r="BO55" i="14"/>
  <c r="U50" i="14"/>
  <c r="V50" i="14" s="1"/>
  <c r="S48" i="14"/>
  <c r="BR43" i="14"/>
  <c r="BM43" i="14"/>
  <c r="BK41" i="14"/>
  <c r="BO41" i="14" s="1"/>
  <c r="BJ41" i="14"/>
  <c r="BP41" i="14"/>
  <c r="BT41" i="14" s="1"/>
  <c r="AN31" i="14"/>
  <c r="AB31" i="14"/>
  <c r="AK31" i="14" s="1"/>
  <c r="AM31" i="14"/>
  <c r="AH31" i="14"/>
  <c r="AD31" i="14"/>
  <c r="AE72" i="14"/>
  <c r="S58" i="14"/>
  <c r="U58" i="14" s="1"/>
  <c r="V58" i="14" s="1"/>
  <c r="BQ56" i="14"/>
  <c r="BL56" i="14"/>
  <c r="BP54" i="14"/>
  <c r="BT54" i="14" s="1"/>
  <c r="BP32" i="14"/>
  <c r="BK32" i="14"/>
  <c r="BO32" i="14" s="1"/>
  <c r="BJ32" i="14"/>
  <c r="S42" i="14"/>
  <c r="U42" i="14" s="1"/>
  <c r="V42" i="14" s="1"/>
  <c r="U29" i="14"/>
  <c r="V29" i="14" s="1"/>
  <c r="BO24" i="14"/>
  <c r="BH25" i="14"/>
  <c r="BR7" i="14"/>
  <c r="BR25" i="14" s="1"/>
  <c r="BM7" i="14"/>
  <c r="BM25" i="14" s="1"/>
  <c r="U41" i="14"/>
  <c r="V41" i="14" s="1"/>
  <c r="T38" i="14"/>
  <c r="BO36" i="14"/>
  <c r="U35" i="14"/>
  <c r="V35" i="14" s="1"/>
  <c r="R33" i="14"/>
  <c r="S33" i="14" s="1"/>
  <c r="BL29" i="14"/>
  <c r="BL85" i="14" s="1"/>
  <c r="BP28" i="14"/>
  <c r="BK28" i="14"/>
  <c r="BJ28" i="14"/>
  <c r="BP20" i="14"/>
  <c r="BK20" i="14"/>
  <c r="BO20" i="14" s="1"/>
  <c r="BJ20" i="14"/>
  <c r="T20" i="14"/>
  <c r="T25" i="14" s="1"/>
  <c r="BN16" i="14"/>
  <c r="BS16" i="14" s="1"/>
  <c r="Q331" i="4"/>
  <c r="Q326" i="4" s="1"/>
  <c r="H326" i="4" s="1"/>
  <c r="G101" i="2" s="1"/>
  <c r="BP44" i="14"/>
  <c r="BJ44" i="14"/>
  <c r="BK44" i="14"/>
  <c r="BP11" i="14"/>
  <c r="BT11" i="14" s="1"/>
  <c r="BK11" i="14"/>
  <c r="BO11" i="14" s="1"/>
  <c r="BJ11" i="14"/>
  <c r="J104" i="14"/>
  <c r="K344" i="4"/>
  <c r="J104" i="2" s="1"/>
  <c r="I104" i="2"/>
  <c r="BT42" i="14"/>
  <c r="BJ16" i="14"/>
  <c r="BP16" i="14"/>
  <c r="BK16" i="14"/>
  <c r="BO12" i="14"/>
  <c r="I112" i="2"/>
  <c r="BT22" i="14"/>
  <c r="R289" i="4"/>
  <c r="R273" i="4"/>
  <c r="N271" i="4"/>
  <c r="N222" i="4"/>
  <c r="R225" i="4"/>
  <c r="BP40" i="14"/>
  <c r="BT40" i="14" s="1"/>
  <c r="BT23" i="14"/>
  <c r="N247" i="4"/>
  <c r="K234" i="4"/>
  <c r="J95" i="2" s="1"/>
  <c r="I95" i="2"/>
  <c r="I57" i="4"/>
  <c r="J57" i="4" s="1"/>
  <c r="G373" i="4"/>
  <c r="R80" i="4"/>
  <c r="BP15" i="14"/>
  <c r="BT15" i="14" s="1"/>
  <c r="I227" i="4"/>
  <c r="J227" i="4" s="1"/>
  <c r="D94" i="2"/>
  <c r="H94" i="2" s="1"/>
  <c r="X330" i="4"/>
  <c r="K120" i="4"/>
  <c r="K119" i="4" s="1"/>
  <c r="J61" i="2" s="1"/>
  <c r="J119" i="4"/>
  <c r="I61" i="2" s="1"/>
  <c r="O63" i="4"/>
  <c r="BK10" i="14"/>
  <c r="BO10" i="14" s="1"/>
  <c r="BJ10" i="14"/>
  <c r="BP8" i="14"/>
  <c r="BT8" i="14" s="1"/>
  <c r="J23" i="3"/>
  <c r="I22" i="3"/>
  <c r="I379" i="4" s="1"/>
  <c r="I383" i="4" s="1"/>
  <c r="H8" i="2"/>
  <c r="H82" i="2"/>
  <c r="I377" i="4"/>
  <c r="I381" i="4" s="1"/>
  <c r="K6" i="4"/>
  <c r="J50" i="2"/>
  <c r="J49" i="2" s="1"/>
  <c r="AD14" i="14"/>
  <c r="AO14" i="14" s="1"/>
  <c r="AM14" i="14"/>
  <c r="G99" i="2" l="1"/>
  <c r="G75" i="2"/>
  <c r="G74" i="2" s="1"/>
  <c r="H56" i="4"/>
  <c r="H16" i="2"/>
  <c r="H11" i="2" s="1"/>
  <c r="H34" i="2" s="1"/>
  <c r="G56" i="4"/>
  <c r="I16" i="3"/>
  <c r="I376" i="4" s="1"/>
  <c r="H270" i="4"/>
  <c r="H135" i="4" s="1"/>
  <c r="G270" i="4"/>
  <c r="G135" i="4" s="1"/>
  <c r="R388" i="4"/>
  <c r="I338" i="4"/>
  <c r="D102" i="2"/>
  <c r="H102" i="2" s="1"/>
  <c r="AI42" i="14"/>
  <c r="AH42" i="14"/>
  <c r="AG42" i="14"/>
  <c r="AK42" i="14" s="1"/>
  <c r="AJ42" i="14"/>
  <c r="AF42" i="14"/>
  <c r="AI66" i="14"/>
  <c r="AJ66" i="14"/>
  <c r="AH66" i="14"/>
  <c r="AG66" i="14"/>
  <c r="AF66" i="14"/>
  <c r="AP66" i="14" s="1"/>
  <c r="V8" i="14"/>
  <c r="U20" i="14"/>
  <c r="V20" i="14" s="1"/>
  <c r="AJ34" i="14"/>
  <c r="AF34" i="14"/>
  <c r="AI34" i="14"/>
  <c r="AH34" i="14"/>
  <c r="AG34" i="14"/>
  <c r="AH32" i="14"/>
  <c r="AG32" i="14"/>
  <c r="AJ32" i="14"/>
  <c r="AF32" i="14"/>
  <c r="AP32" i="14" s="1"/>
  <c r="AU32" i="14" s="1"/>
  <c r="AI32" i="14"/>
  <c r="AS40" i="14"/>
  <c r="AT40" i="14"/>
  <c r="AX40" i="14" s="1"/>
  <c r="AG74" i="14"/>
  <c r="AE74" i="14"/>
  <c r="AL74" i="14"/>
  <c r="AB74" i="14"/>
  <c r="AC74" i="14" s="1"/>
  <c r="T104" i="14"/>
  <c r="AL55" i="14"/>
  <c r="AH55" i="14"/>
  <c r="AD55" i="14"/>
  <c r="AK55" i="14"/>
  <c r="AG55" i="14"/>
  <c r="AC55" i="14"/>
  <c r="AN55" i="14"/>
  <c r="AJ55" i="14"/>
  <c r="AF55" i="14"/>
  <c r="AM55" i="14"/>
  <c r="AI55" i="14"/>
  <c r="AE55" i="14"/>
  <c r="AI16" i="14"/>
  <c r="AE16" i="14"/>
  <c r="AL16" i="14"/>
  <c r="AD16" i="14"/>
  <c r="AK16" i="14"/>
  <c r="AG16" i="14"/>
  <c r="AN16" i="14"/>
  <c r="AJ16" i="14"/>
  <c r="AF16" i="14"/>
  <c r="AB16" i="14"/>
  <c r="AM16" i="14" s="1"/>
  <c r="AB91" i="14"/>
  <c r="AN91" i="14" s="1"/>
  <c r="AD91" i="14"/>
  <c r="AS90" i="14"/>
  <c r="AT90" i="14"/>
  <c r="AX90" i="14" s="1"/>
  <c r="AG78" i="14"/>
  <c r="AC78" i="14"/>
  <c r="AN78" i="14"/>
  <c r="AD78" i="14"/>
  <c r="AL78" i="14"/>
  <c r="AF78" i="14"/>
  <c r="AP78" i="14" s="1"/>
  <c r="AU78" i="14" s="1"/>
  <c r="AH78" i="14"/>
  <c r="AE78" i="14"/>
  <c r="AM78" i="14"/>
  <c r="AB78" i="14"/>
  <c r="AK78" i="14" s="1"/>
  <c r="BP103" i="14"/>
  <c r="E101" i="2"/>
  <c r="E99" i="2" s="1"/>
  <c r="F270" i="4"/>
  <c r="F135" i="4" s="1"/>
  <c r="AM38" i="14"/>
  <c r="AI38" i="14"/>
  <c r="AE38" i="14"/>
  <c r="AH38" i="14"/>
  <c r="AD38" i="14"/>
  <c r="AK38" i="14"/>
  <c r="AC38" i="14"/>
  <c r="AJ38" i="14"/>
  <c r="AF38" i="14"/>
  <c r="AB38" i="14"/>
  <c r="AL38" i="14" s="1"/>
  <c r="AR38" i="14" s="1"/>
  <c r="AW38" i="14" s="1"/>
  <c r="AN38" i="14"/>
  <c r="BQ103" i="14"/>
  <c r="AS14" i="14"/>
  <c r="AT14" i="14"/>
  <c r="AI58" i="14"/>
  <c r="AH58" i="14"/>
  <c r="AK58" i="14"/>
  <c r="AG58" i="14"/>
  <c r="AJ58" i="14"/>
  <c r="AF58" i="14"/>
  <c r="AP58" i="14" s="1"/>
  <c r="AT11" i="14"/>
  <c r="AN46" i="14"/>
  <c r="AJ46" i="14"/>
  <c r="AB46" i="14"/>
  <c r="AF46" i="14" s="1"/>
  <c r="AI46" i="14"/>
  <c r="AD46" i="14"/>
  <c r="AH46" i="14"/>
  <c r="AC46" i="14"/>
  <c r="AL46" i="14"/>
  <c r="AK46" i="14"/>
  <c r="AE46" i="14"/>
  <c r="AI29" i="14"/>
  <c r="AH29" i="14"/>
  <c r="AG29" i="14"/>
  <c r="AK29" i="14" s="1"/>
  <c r="AJ29" i="14"/>
  <c r="AF29" i="14"/>
  <c r="AK87" i="14"/>
  <c r="AG87" i="14"/>
  <c r="AN87" i="14"/>
  <c r="AJ87" i="14"/>
  <c r="AF87" i="14"/>
  <c r="AB87" i="14"/>
  <c r="AC87" i="14" s="1"/>
  <c r="AO87" i="14" s="1"/>
  <c r="AM87" i="14"/>
  <c r="AI87" i="14"/>
  <c r="AQ87" i="14" s="1"/>
  <c r="AV87" i="14" s="1"/>
  <c r="AE87" i="14"/>
  <c r="AD87" i="14"/>
  <c r="AL87" i="14"/>
  <c r="AR87" i="14" s="1"/>
  <c r="AW87" i="14" s="1"/>
  <c r="AH87" i="14"/>
  <c r="AU79" i="14"/>
  <c r="AX79" i="14" s="1"/>
  <c r="S36" i="3"/>
  <c r="S39" i="3" s="1"/>
  <c r="K33" i="3" s="1"/>
  <c r="R39" i="3"/>
  <c r="J33" i="3" s="1"/>
  <c r="AN47" i="14"/>
  <c r="AB47" i="14"/>
  <c r="AJ47" i="14" s="1"/>
  <c r="AM47" i="14"/>
  <c r="AK47" i="14"/>
  <c r="AC47" i="14"/>
  <c r="AL47" i="14"/>
  <c r="AD47" i="14"/>
  <c r="AH93" i="14"/>
  <c r="AD93" i="14"/>
  <c r="AK93" i="14"/>
  <c r="AC93" i="14"/>
  <c r="AI93" i="14"/>
  <c r="AN93" i="14"/>
  <c r="AM93" i="14"/>
  <c r="AE93" i="14"/>
  <c r="AJ93" i="14"/>
  <c r="AB93" i="14"/>
  <c r="AL93" i="14" s="1"/>
  <c r="AR93" i="14" s="1"/>
  <c r="AW93" i="14" s="1"/>
  <c r="BT93" i="14"/>
  <c r="N326" i="4"/>
  <c r="R327" i="4"/>
  <c r="AU63" i="14"/>
  <c r="BR85" i="14"/>
  <c r="BR104" i="14" s="1"/>
  <c r="AK44" i="14"/>
  <c r="AC44" i="14"/>
  <c r="AM44" i="14"/>
  <c r="AH44" i="14"/>
  <c r="AB44" i="14"/>
  <c r="AG44" i="14" s="1"/>
  <c r="AL44" i="14"/>
  <c r="AF44" i="14"/>
  <c r="AJ44" i="14"/>
  <c r="AE44" i="14"/>
  <c r="AN44" i="14"/>
  <c r="AI44" i="14"/>
  <c r="AD44" i="14"/>
  <c r="E264" i="4"/>
  <c r="R264" i="4"/>
  <c r="AF99" i="14"/>
  <c r="BQ29" i="14"/>
  <c r="BQ85" i="14" s="1"/>
  <c r="AC31" i="14"/>
  <c r="AO31" i="14" s="1"/>
  <c r="AB102" i="14"/>
  <c r="AL102" i="14" s="1"/>
  <c r="BP99" i="14"/>
  <c r="BT99" i="14" s="1"/>
  <c r="AK79" i="14"/>
  <c r="K209" i="4"/>
  <c r="J67" i="2" s="1"/>
  <c r="I67" i="2"/>
  <c r="AR12" i="14"/>
  <c r="AW12" i="14" s="1"/>
  <c r="G57" i="2"/>
  <c r="G53" i="2" s="1"/>
  <c r="G48" i="2" s="1"/>
  <c r="H10" i="4"/>
  <c r="D73" i="2"/>
  <c r="I136" i="4"/>
  <c r="AI10" i="14"/>
  <c r="AF10" i="14"/>
  <c r="AG10" i="14"/>
  <c r="AL10" i="14"/>
  <c r="E341" i="4"/>
  <c r="R341" i="4"/>
  <c r="AN49" i="14"/>
  <c r="AJ49" i="14"/>
  <c r="AB49" i="14"/>
  <c r="AF49" i="14" s="1"/>
  <c r="AM49" i="14"/>
  <c r="AI49" i="14"/>
  <c r="AK49" i="14"/>
  <c r="AC49" i="14"/>
  <c r="AH49" i="14"/>
  <c r="AL49" i="14"/>
  <c r="AD49" i="14"/>
  <c r="BO29" i="14"/>
  <c r="BM27" i="14"/>
  <c r="BO27" i="14" s="1"/>
  <c r="BR27" i="14"/>
  <c r="BT27" i="14" s="1"/>
  <c r="BJ27" i="14"/>
  <c r="BO56" i="14"/>
  <c r="AQ39" i="14"/>
  <c r="AV39" i="14" s="1"/>
  <c r="S27" i="14"/>
  <c r="S85" i="14" s="1"/>
  <c r="BO43" i="14"/>
  <c r="AQ68" i="14"/>
  <c r="AV68" i="14" s="1"/>
  <c r="AU82" i="14"/>
  <c r="BO94" i="14"/>
  <c r="BR86" i="14"/>
  <c r="BR103" i="14" s="1"/>
  <c r="AJ101" i="14"/>
  <c r="AC101" i="14"/>
  <c r="AB101" i="14"/>
  <c r="AM101" i="14" s="1"/>
  <c r="AK101" i="14"/>
  <c r="BP95" i="14"/>
  <c r="BT95" i="14" s="1"/>
  <c r="I212" i="4"/>
  <c r="J212" i="4" s="1"/>
  <c r="D69" i="2"/>
  <c r="E204" i="4"/>
  <c r="E373" i="4" s="1"/>
  <c r="BN85" i="14"/>
  <c r="BN104" i="14" s="1"/>
  <c r="AK94" i="14"/>
  <c r="E295" i="4"/>
  <c r="I295" i="4" s="1"/>
  <c r="J295" i="4" s="1"/>
  <c r="K295" i="4" s="1"/>
  <c r="R295" i="4"/>
  <c r="I283" i="4"/>
  <c r="J283" i="4" s="1"/>
  <c r="K283" i="4" s="1"/>
  <c r="R87" i="4"/>
  <c r="I196" i="4"/>
  <c r="D64" i="2"/>
  <c r="R331" i="4"/>
  <c r="BK25" i="14"/>
  <c r="BO7" i="14"/>
  <c r="BH85" i="14"/>
  <c r="BH104" i="14" s="1"/>
  <c r="AQ57" i="14"/>
  <c r="AV57" i="14" s="1"/>
  <c r="AG98" i="14"/>
  <c r="AQ69" i="14"/>
  <c r="AV69" i="14" s="1"/>
  <c r="AH99" i="14"/>
  <c r="AN99" i="14"/>
  <c r="AL99" i="14"/>
  <c r="AG19" i="14"/>
  <c r="AM19" i="14"/>
  <c r="AF19" i="14"/>
  <c r="AK7" i="14"/>
  <c r="AG7" i="14"/>
  <c r="AC7" i="14"/>
  <c r="AN7" i="14"/>
  <c r="AJ7" i="14"/>
  <c r="AF7" i="14"/>
  <c r="AM7" i="14"/>
  <c r="AI7" i="14"/>
  <c r="AE7" i="14"/>
  <c r="AH7" i="14"/>
  <c r="AD7" i="14"/>
  <c r="AL7" i="14"/>
  <c r="AC21" i="14"/>
  <c r="AE21" i="14"/>
  <c r="AF21" i="14"/>
  <c r="AJ51" i="14"/>
  <c r="AF51" i="14"/>
  <c r="AP51" i="14" s="1"/>
  <c r="AI51" i="14"/>
  <c r="AH51" i="14"/>
  <c r="AG51" i="14"/>
  <c r="AM100" i="14"/>
  <c r="AF100" i="14"/>
  <c r="AG100" i="14"/>
  <c r="G92" i="2"/>
  <c r="AR76" i="14"/>
  <c r="AW76" i="14" s="1"/>
  <c r="AL23" i="14"/>
  <c r="AI23" i="14"/>
  <c r="AJ23" i="14"/>
  <c r="AR37" i="14"/>
  <c r="AW37" i="14" s="1"/>
  <c r="AC37" i="14"/>
  <c r="AI95" i="14"/>
  <c r="AJ95" i="14"/>
  <c r="AK95" i="14"/>
  <c r="AQ45" i="14"/>
  <c r="AV45" i="14" s="1"/>
  <c r="AQ59" i="14"/>
  <c r="AV59" i="14" s="1"/>
  <c r="AM43" i="14"/>
  <c r="AF43" i="14"/>
  <c r="AG43" i="14"/>
  <c r="AL43" i="14"/>
  <c r="AC56" i="14"/>
  <c r="AO56" i="14" s="1"/>
  <c r="AH56" i="14"/>
  <c r="C12" i="5"/>
  <c r="L34" i="2"/>
  <c r="M34" i="2" s="1"/>
  <c r="BT44" i="14"/>
  <c r="BJ85" i="14"/>
  <c r="BT71" i="14"/>
  <c r="U103" i="14"/>
  <c r="V86" i="14"/>
  <c r="H67" i="2"/>
  <c r="F65" i="2"/>
  <c r="F63" i="2" s="1"/>
  <c r="F60" i="2" s="1"/>
  <c r="AS72" i="14"/>
  <c r="AT72" i="14"/>
  <c r="AX72" i="14" s="1"/>
  <c r="AN48" i="14"/>
  <c r="AJ48" i="14"/>
  <c r="AB48" i="14"/>
  <c r="AF48" i="14" s="1"/>
  <c r="AP48" i="14" s="1"/>
  <c r="AU48" i="14" s="1"/>
  <c r="AM48" i="14"/>
  <c r="AI48" i="14"/>
  <c r="AG48" i="14"/>
  <c r="AL48" i="14"/>
  <c r="AR48" i="14" s="1"/>
  <c r="AW48" i="14" s="1"/>
  <c r="AD48" i="14"/>
  <c r="AC48" i="14"/>
  <c r="AH48" i="14"/>
  <c r="AU68" i="14"/>
  <c r="AX68" i="14" s="1"/>
  <c r="AK68" i="14"/>
  <c r="BK103" i="14"/>
  <c r="BO86" i="14"/>
  <c r="BS85" i="14"/>
  <c r="AR94" i="14"/>
  <c r="AW94" i="14" s="1"/>
  <c r="E79" i="2"/>
  <c r="AQ67" i="14"/>
  <c r="AV67" i="14" s="1"/>
  <c r="AR98" i="14"/>
  <c r="AW98" i="14" s="1"/>
  <c r="AU80" i="14"/>
  <c r="AK99" i="14"/>
  <c r="AH19" i="14"/>
  <c r="AO73" i="14"/>
  <c r="AC100" i="14"/>
  <c r="AO76" i="14"/>
  <c r="AU83" i="14"/>
  <c r="AO92" i="14"/>
  <c r="AB26" i="14"/>
  <c r="AN26" i="14" s="1"/>
  <c r="AK26" i="14"/>
  <c r="AH43" i="14"/>
  <c r="K57" i="4"/>
  <c r="BT98" i="14"/>
  <c r="AQ54" i="14"/>
  <c r="AV54" i="14" s="1"/>
  <c r="BO71" i="14"/>
  <c r="AI60" i="14"/>
  <c r="AH60" i="14"/>
  <c r="AG60" i="14"/>
  <c r="AK60" i="14" s="1"/>
  <c r="AJ60" i="14"/>
  <c r="AF60" i="14"/>
  <c r="K23" i="3"/>
  <c r="K22" i="3" s="1"/>
  <c r="J22" i="3"/>
  <c r="BP10" i="14"/>
  <c r="BT10" i="14" s="1"/>
  <c r="E247" i="4"/>
  <c r="R247" i="4"/>
  <c r="E222" i="4"/>
  <c r="R222" i="4"/>
  <c r="BO16" i="14"/>
  <c r="BO44" i="14"/>
  <c r="BO28" i="14"/>
  <c r="AB41" i="14"/>
  <c r="AN41" i="14" s="1"/>
  <c r="AG41" i="14"/>
  <c r="T27" i="14"/>
  <c r="T85" i="14" s="1"/>
  <c r="AE31" i="14"/>
  <c r="AF31" i="14"/>
  <c r="AP31" i="14" s="1"/>
  <c r="AU31" i="14" s="1"/>
  <c r="AG31" i="14"/>
  <c r="AK50" i="14"/>
  <c r="AG50" i="14"/>
  <c r="AC50" i="14"/>
  <c r="AN50" i="14"/>
  <c r="AJ50" i="14"/>
  <c r="AF50" i="14"/>
  <c r="AH50" i="14"/>
  <c r="AM50" i="14"/>
  <c r="AE50" i="14"/>
  <c r="AL50" i="14"/>
  <c r="AR50" i="14" s="1"/>
  <c r="AW50" i="14" s="1"/>
  <c r="AD50" i="14"/>
  <c r="AI50" i="14"/>
  <c r="BK85" i="14"/>
  <c r="BO26" i="14"/>
  <c r="AI64" i="14"/>
  <c r="AH64" i="14"/>
  <c r="AG64" i="14"/>
  <c r="AK64" i="14" s="1"/>
  <c r="AJ64" i="14"/>
  <c r="AF64" i="14"/>
  <c r="BP49" i="14"/>
  <c r="BT49" i="14" s="1"/>
  <c r="AP54" i="14"/>
  <c r="BP77" i="14"/>
  <c r="BT77" i="14" s="1"/>
  <c r="BL103" i="14"/>
  <c r="X117" i="14"/>
  <c r="AP70" i="14"/>
  <c r="AK70" i="14"/>
  <c r="J82" i="2"/>
  <c r="K131" i="4"/>
  <c r="AK18" i="14"/>
  <c r="AG18" i="14"/>
  <c r="AC18" i="14"/>
  <c r="AL18" i="14"/>
  <c r="AB18" i="14"/>
  <c r="AM18" i="14" s="1"/>
  <c r="AJ18" i="14"/>
  <c r="AE18" i="14"/>
  <c r="AI18" i="14"/>
  <c r="AD18" i="14"/>
  <c r="AE12" i="14"/>
  <c r="AF12" i="14"/>
  <c r="AP12" i="14" s="1"/>
  <c r="AU12" i="14" s="1"/>
  <c r="BQ7" i="14"/>
  <c r="BQ25" i="14" s="1"/>
  <c r="AQ84" i="14"/>
  <c r="AV84" i="14" s="1"/>
  <c r="BO96" i="14"/>
  <c r="BP102" i="14"/>
  <c r="BT102" i="14" s="1"/>
  <c r="AQ14" i="14"/>
  <c r="AV14" i="14" s="1"/>
  <c r="J377" i="4"/>
  <c r="J16" i="3"/>
  <c r="E307" i="4"/>
  <c r="R307" i="4"/>
  <c r="E236" i="4"/>
  <c r="I236" i="4" s="1"/>
  <c r="J236" i="4" s="1"/>
  <c r="K236" i="4" s="1"/>
  <c r="R236" i="4"/>
  <c r="AM10" i="14"/>
  <c r="AJ10" i="14"/>
  <c r="AK10" i="14"/>
  <c r="AL13" i="14"/>
  <c r="AG13" i="14"/>
  <c r="AB13" i="14"/>
  <c r="AM13" i="14" s="1"/>
  <c r="AN13" i="14"/>
  <c r="BS9" i="14"/>
  <c r="BS25" i="14" s="1"/>
  <c r="BS104" i="14" s="1"/>
  <c r="S20" i="14"/>
  <c r="S25" i="14" s="1"/>
  <c r="S104" i="14" s="1"/>
  <c r="BP29" i="14"/>
  <c r="BT29" i="14" s="1"/>
  <c r="AI28" i="14"/>
  <c r="AH28" i="14"/>
  <c r="AG28" i="14"/>
  <c r="AK28" i="14" s="1"/>
  <c r="AJ28" i="14"/>
  <c r="AF28" i="14"/>
  <c r="BP56" i="14"/>
  <c r="BT56" i="14" s="1"/>
  <c r="AC39" i="14"/>
  <c r="AO39" i="14" s="1"/>
  <c r="AH39" i="14"/>
  <c r="AO27" i="14"/>
  <c r="BP43" i="14"/>
  <c r="BT43" i="14" s="1"/>
  <c r="AQ82" i="14"/>
  <c r="AV82" i="14" s="1"/>
  <c r="BP94" i="14"/>
  <c r="BT94" i="14" s="1"/>
  <c r="AP65" i="14"/>
  <c r="AK65" i="14"/>
  <c r="AQ65" i="14" s="1"/>
  <c r="AV65" i="14" s="1"/>
  <c r="AQ81" i="14"/>
  <c r="AV81" i="14" s="1"/>
  <c r="AR11" i="14"/>
  <c r="AW11" i="14" s="1"/>
  <c r="AF94" i="14"/>
  <c r="AP94" i="14" s="1"/>
  <c r="AU94" i="14" s="1"/>
  <c r="AJ94" i="14"/>
  <c r="AQ94" i="14" s="1"/>
  <c r="AV94" i="14" s="1"/>
  <c r="AD94" i="14"/>
  <c r="E75" i="2"/>
  <c r="E74" i="2" s="1"/>
  <c r="R283" i="4"/>
  <c r="I87" i="4"/>
  <c r="J87" i="4" s="1"/>
  <c r="K87" i="4" s="1"/>
  <c r="AI9" i="14"/>
  <c r="AE9" i="14"/>
  <c r="AL9" i="14"/>
  <c r="AD9" i="14"/>
  <c r="AK9" i="14"/>
  <c r="AG9" i="14"/>
  <c r="AN9" i="14"/>
  <c r="AJ9" i="14"/>
  <c r="AF9" i="14"/>
  <c r="AB9" i="14"/>
  <c r="AM9" i="14" s="1"/>
  <c r="BO9" i="14"/>
  <c r="BP7" i="14"/>
  <c r="AM36" i="14"/>
  <c r="AR36" i="14" s="1"/>
  <c r="AW36" i="14" s="1"/>
  <c r="AN36" i="14"/>
  <c r="AD36" i="14"/>
  <c r="AP57" i="14"/>
  <c r="AP67" i="14"/>
  <c r="AD98" i="14"/>
  <c r="AO98" i="14" s="1"/>
  <c r="AJ98" i="14"/>
  <c r="AH98" i="14"/>
  <c r="AK98" i="14"/>
  <c r="F75" i="2"/>
  <c r="F74" i="2" s="1"/>
  <c r="BO31" i="14"/>
  <c r="AP69" i="14"/>
  <c r="BP76" i="14"/>
  <c r="BT76" i="14" s="1"/>
  <c r="AM99" i="14"/>
  <c r="AE99" i="14"/>
  <c r="AC99" i="14"/>
  <c r="AO99" i="14" s="1"/>
  <c r="AL19" i="14"/>
  <c r="AR19" i="14" s="1"/>
  <c r="AW19" i="14" s="1"/>
  <c r="AD19" i="14"/>
  <c r="AJ19" i="14"/>
  <c r="AK21" i="14"/>
  <c r="AI21" i="14"/>
  <c r="AQ21" i="14" s="1"/>
  <c r="AV21" i="14" s="1"/>
  <c r="AJ21" i="14"/>
  <c r="AP52" i="14"/>
  <c r="AK52" i="14"/>
  <c r="AQ52" i="14" s="1"/>
  <c r="AV52" i="14" s="1"/>
  <c r="AF73" i="14"/>
  <c r="AP73" i="14" s="1"/>
  <c r="AU73" i="14" s="1"/>
  <c r="AI73" i="14"/>
  <c r="AQ73" i="14" s="1"/>
  <c r="AV73" i="14" s="1"/>
  <c r="AD100" i="14"/>
  <c r="AH100" i="14"/>
  <c r="AJ100" i="14"/>
  <c r="AK100" i="14"/>
  <c r="AC96" i="14"/>
  <c r="AO96" i="14" s="1"/>
  <c r="AF76" i="14"/>
  <c r="AP76" i="14" s="1"/>
  <c r="AU76" i="14" s="1"/>
  <c r="AI76" i="14"/>
  <c r="AQ76" i="14" s="1"/>
  <c r="AV76" i="14" s="1"/>
  <c r="AC23" i="14"/>
  <c r="AO23" i="14" s="1"/>
  <c r="AG23" i="14"/>
  <c r="AP23" i="14" s="1"/>
  <c r="AU23" i="14" s="1"/>
  <c r="AM23" i="14"/>
  <c r="AE37" i="14"/>
  <c r="AF37" i="14"/>
  <c r="AP37" i="14" s="1"/>
  <c r="AU37" i="14" s="1"/>
  <c r="AM95" i="14"/>
  <c r="AR95" i="14" s="1"/>
  <c r="AW95" i="14" s="1"/>
  <c r="AN95" i="14"/>
  <c r="AD95" i="14"/>
  <c r="AI92" i="14"/>
  <c r="AQ92" i="14" s="1"/>
  <c r="AV92" i="14" s="1"/>
  <c r="AF92" i="14"/>
  <c r="AP92" i="14" s="1"/>
  <c r="AU92" i="14" s="1"/>
  <c r="AK61" i="14"/>
  <c r="AQ61" i="14" s="1"/>
  <c r="AP59" i="14"/>
  <c r="AE43" i="14"/>
  <c r="AJ43" i="14"/>
  <c r="AK43" i="14"/>
  <c r="AE56" i="14"/>
  <c r="AF56" i="14"/>
  <c r="AG56" i="14"/>
  <c r="AL56" i="14"/>
  <c r="AR56" i="14" s="1"/>
  <c r="AW56" i="14" s="1"/>
  <c r="AC97" i="14"/>
  <c r="AH97" i="14"/>
  <c r="BT32" i="14"/>
  <c r="I54" i="4"/>
  <c r="J54" i="4" s="1"/>
  <c r="F56" i="2"/>
  <c r="H56" i="2" s="1"/>
  <c r="AI62" i="14"/>
  <c r="AH62" i="14"/>
  <c r="AG62" i="14"/>
  <c r="AK62" i="14" s="1"/>
  <c r="AJ62" i="14"/>
  <c r="AF62" i="14"/>
  <c r="AP84" i="14"/>
  <c r="AU84" i="14" s="1"/>
  <c r="K205" i="4"/>
  <c r="I66" i="2"/>
  <c r="AC10" i="14"/>
  <c r="AH10" i="14"/>
  <c r="AT32" i="14"/>
  <c r="AK88" i="14"/>
  <c r="AG88" i="14"/>
  <c r="AN88" i="14"/>
  <c r="AJ88" i="14"/>
  <c r="AF88" i="14"/>
  <c r="AP88" i="14" s="1"/>
  <c r="AU88" i="14" s="1"/>
  <c r="AB88" i="14"/>
  <c r="AC88" i="14" s="1"/>
  <c r="AO88" i="14" s="1"/>
  <c r="AM88" i="14"/>
  <c r="AI88" i="14"/>
  <c r="AE88" i="14"/>
  <c r="AL88" i="14"/>
  <c r="AH88" i="14"/>
  <c r="AD88" i="14"/>
  <c r="AK77" i="14"/>
  <c r="AC77" i="14"/>
  <c r="AM77" i="14"/>
  <c r="AI77" i="14"/>
  <c r="AL77" i="14"/>
  <c r="AD77" i="14"/>
  <c r="AJ77" i="14"/>
  <c r="AB77" i="14"/>
  <c r="AG77" i="14" s="1"/>
  <c r="AH77" i="14"/>
  <c r="AN77" i="14"/>
  <c r="AF77" i="14"/>
  <c r="AO71" i="14"/>
  <c r="BJ25" i="14"/>
  <c r="AJ30" i="14"/>
  <c r="AF30" i="14"/>
  <c r="AI30" i="14"/>
  <c r="AH30" i="14"/>
  <c r="AK30" i="14"/>
  <c r="AG30" i="14"/>
  <c r="AP36" i="14"/>
  <c r="AU36" i="14" s="1"/>
  <c r="AB75" i="14"/>
  <c r="AC75" i="14" s="1"/>
  <c r="AI99" i="14"/>
  <c r="AE100" i="14"/>
  <c r="AP95" i="14"/>
  <c r="AU95" i="14" s="1"/>
  <c r="AC43" i="14"/>
  <c r="AO43" i="14" s="1"/>
  <c r="F63" i="4"/>
  <c r="R63" i="4"/>
  <c r="K227" i="4"/>
  <c r="J94" i="2" s="1"/>
  <c r="I94" i="2"/>
  <c r="E271" i="4"/>
  <c r="R271" i="4"/>
  <c r="BT16" i="14"/>
  <c r="BT20" i="14"/>
  <c r="BT28" i="14"/>
  <c r="AG35" i="14"/>
  <c r="AK35" i="14" s="1"/>
  <c r="AJ35" i="14"/>
  <c r="AF35" i="14"/>
  <c r="AI35" i="14"/>
  <c r="AH35" i="14"/>
  <c r="AL31" i="14"/>
  <c r="AR31" i="14" s="1"/>
  <c r="AW31" i="14" s="1"/>
  <c r="AI31" i="14"/>
  <c r="AJ31" i="14"/>
  <c r="BT26" i="14"/>
  <c r="AK89" i="14"/>
  <c r="AG89" i="14"/>
  <c r="AN89" i="14"/>
  <c r="AJ89" i="14"/>
  <c r="AF89" i="14"/>
  <c r="AP89" i="14" s="1"/>
  <c r="AU89" i="14" s="1"/>
  <c r="AB89" i="14"/>
  <c r="AC89" i="14" s="1"/>
  <c r="AO89" i="14" s="1"/>
  <c r="AM89" i="14"/>
  <c r="AI89" i="14"/>
  <c r="AQ89" i="14" s="1"/>
  <c r="AV89" i="14" s="1"/>
  <c r="AE89" i="14"/>
  <c r="AL89" i="14"/>
  <c r="AH89" i="14"/>
  <c r="AD89" i="14"/>
  <c r="AB117" i="14"/>
  <c r="X54" i="4"/>
  <c r="X384" i="4" s="1"/>
  <c r="V384" i="4"/>
  <c r="G84" i="2" s="1"/>
  <c r="G79" i="2" s="1"/>
  <c r="G78" i="2" s="1"/>
  <c r="AQ79" i="14"/>
  <c r="AV79" i="14" s="1"/>
  <c r="AQ70" i="14"/>
  <c r="AV70" i="14" s="1"/>
  <c r="AC12" i="14"/>
  <c r="AD12" i="14"/>
  <c r="AI12" i="14"/>
  <c r="AQ12" i="14" s="1"/>
  <c r="AV12" i="14" s="1"/>
  <c r="AN15" i="14"/>
  <c r="AB15" i="14"/>
  <c r="AJ15" i="14" s="1"/>
  <c r="AM15" i="14"/>
  <c r="AL15" i="14"/>
  <c r="AH15" i="14"/>
  <c r="AC15" i="14"/>
  <c r="AK15" i="14"/>
  <c r="BL104" i="14"/>
  <c r="BT37" i="14"/>
  <c r="AO84" i="14"/>
  <c r="BT96" i="14"/>
  <c r="AR14" i="14"/>
  <c r="AW14" i="14" s="1"/>
  <c r="K17" i="3"/>
  <c r="J13" i="2"/>
  <c r="J12" i="2" s="1"/>
  <c r="E74" i="4"/>
  <c r="R74" i="4"/>
  <c r="I204" i="4"/>
  <c r="AE10" i="14"/>
  <c r="AN10" i="14"/>
  <c r="L104" i="14"/>
  <c r="U33" i="14"/>
  <c r="V33" i="14" s="1"/>
  <c r="AJ53" i="14"/>
  <c r="AF53" i="14"/>
  <c r="AI53" i="14"/>
  <c r="AH53" i="14"/>
  <c r="AG53" i="14"/>
  <c r="AP39" i="14"/>
  <c r="AU39" i="14" s="1"/>
  <c r="AR39" i="14"/>
  <c r="AW39" i="14" s="1"/>
  <c r="AP81" i="14"/>
  <c r="BJ103" i="14"/>
  <c r="BO93" i="14"/>
  <c r="J15" i="4"/>
  <c r="AP11" i="14"/>
  <c r="AU11" i="14" s="1"/>
  <c r="F124" i="4"/>
  <c r="I125" i="4"/>
  <c r="R25" i="14"/>
  <c r="R104" i="14" s="1"/>
  <c r="AK63" i="14"/>
  <c r="AQ63" i="14" s="1"/>
  <c r="AQ71" i="14"/>
  <c r="AV71" i="14" s="1"/>
  <c r="BP72" i="14"/>
  <c r="BT72" i="14" s="1"/>
  <c r="AN94" i="14"/>
  <c r="AC94" i="14"/>
  <c r="K11" i="4"/>
  <c r="F33" i="4"/>
  <c r="R33" i="4"/>
  <c r="K307" i="4"/>
  <c r="J100" i="2" s="1"/>
  <c r="I100" i="2"/>
  <c r="BT9" i="14"/>
  <c r="BF104" i="14"/>
  <c r="AM24" i="14"/>
  <c r="AH24" i="14"/>
  <c r="AK24" i="14"/>
  <c r="AB24" i="14"/>
  <c r="AI24" i="14" s="1"/>
  <c r="AG24" i="14"/>
  <c r="BM85" i="14"/>
  <c r="BM104" i="14" s="1"/>
  <c r="AC36" i="14"/>
  <c r="AO36" i="14" s="1"/>
  <c r="BP21" i="14"/>
  <c r="BT21" i="14" s="1"/>
  <c r="BP75" i="14"/>
  <c r="BT75" i="14" s="1"/>
  <c r="AI98" i="14"/>
  <c r="AF98" i="14"/>
  <c r="AP98" i="14" s="1"/>
  <c r="AU98" i="14" s="1"/>
  <c r="I16" i="4"/>
  <c r="J16" i="4" s="1"/>
  <c r="K16" i="4" s="1"/>
  <c r="D57" i="2"/>
  <c r="E10" i="4"/>
  <c r="BT31" i="14"/>
  <c r="AK80" i="14"/>
  <c r="AQ80" i="14" s="1"/>
  <c r="AD99" i="14"/>
  <c r="AJ99" i="14"/>
  <c r="AK19" i="14"/>
  <c r="AC19" i="14"/>
  <c r="AO19" i="14" s="1"/>
  <c r="AI19" i="14"/>
  <c r="AG21" i="14"/>
  <c r="AD21" i="14"/>
  <c r="AM21" i="14"/>
  <c r="AR21" i="14" s="1"/>
  <c r="AW21" i="14" s="1"/>
  <c r="AL100" i="14"/>
  <c r="AI100" i="14"/>
  <c r="AP96" i="14"/>
  <c r="AU96" i="14" s="1"/>
  <c r="AR96" i="14"/>
  <c r="AW96" i="14" s="1"/>
  <c r="AK83" i="14"/>
  <c r="AQ83" i="14" s="1"/>
  <c r="AC95" i="14"/>
  <c r="AO95" i="14" s="1"/>
  <c r="AR92" i="14"/>
  <c r="AW92" i="14" s="1"/>
  <c r="AP45" i="14"/>
  <c r="AU61" i="14"/>
  <c r="AI43" i="14"/>
  <c r="AN43" i="14"/>
  <c r="AI56" i="14"/>
  <c r="AJ56" i="14"/>
  <c r="AE97" i="14"/>
  <c r="AF97" i="14"/>
  <c r="AG97" i="14"/>
  <c r="G372" i="4" l="1"/>
  <c r="G374" i="4" s="1"/>
  <c r="H372" i="4"/>
  <c r="H374" i="4" s="1"/>
  <c r="G114" i="2"/>
  <c r="H84" i="2"/>
  <c r="AV80" i="14"/>
  <c r="AS80" i="14"/>
  <c r="AT88" i="14"/>
  <c r="AS98" i="14"/>
  <c r="AT98" i="14"/>
  <c r="AT87" i="14"/>
  <c r="AV83" i="14"/>
  <c r="AX83" i="14" s="1"/>
  <c r="AS83" i="14"/>
  <c r="AV63" i="14"/>
  <c r="AS63" i="14"/>
  <c r="AV61" i="14"/>
  <c r="AS61" i="14"/>
  <c r="AS89" i="14"/>
  <c r="AT89" i="14"/>
  <c r="AP49" i="14"/>
  <c r="AU49" i="14" s="1"/>
  <c r="AE75" i="14"/>
  <c r="AP77" i="14"/>
  <c r="AU77" i="14" s="1"/>
  <c r="AR9" i="14"/>
  <c r="AW9" i="14" s="1"/>
  <c r="J376" i="4"/>
  <c r="D12" i="5"/>
  <c r="I84" i="2"/>
  <c r="AL41" i="14"/>
  <c r="K379" i="4"/>
  <c r="J16" i="2"/>
  <c r="J11" i="2" s="1"/>
  <c r="J34" i="2" s="1"/>
  <c r="AP7" i="14"/>
  <c r="AN102" i="14"/>
  <c r="AR102" i="14" s="1"/>
  <c r="AW102" i="14" s="1"/>
  <c r="AT31" i="14"/>
  <c r="AP16" i="14"/>
  <c r="AU16" i="14" s="1"/>
  <c r="AK32" i="14"/>
  <c r="AQ32" i="14" s="1"/>
  <c r="AK20" i="14"/>
  <c r="AN20" i="14"/>
  <c r="AJ20" i="14"/>
  <c r="AB20" i="14"/>
  <c r="AG20" i="14" s="1"/>
  <c r="AL20" i="14"/>
  <c r="AD20" i="14"/>
  <c r="AH20" i="14"/>
  <c r="AM20" i="14"/>
  <c r="AE20" i="14"/>
  <c r="AU66" i="14"/>
  <c r="AQ56" i="14"/>
  <c r="AV56" i="14" s="1"/>
  <c r="AQ100" i="14"/>
  <c r="AV100" i="14" s="1"/>
  <c r="AU81" i="14"/>
  <c r="AX81" i="14" s="1"/>
  <c r="AS81" i="14"/>
  <c r="AT84" i="14"/>
  <c r="AX84" i="14" s="1"/>
  <c r="AS84" i="14"/>
  <c r="AQ31" i="14"/>
  <c r="AV31" i="14" s="1"/>
  <c r="BJ104" i="14"/>
  <c r="I56" i="2"/>
  <c r="K54" i="4"/>
  <c r="J56" i="2" s="1"/>
  <c r="AU69" i="14"/>
  <c r="AX69" i="14" s="1"/>
  <c r="AS69" i="14"/>
  <c r="BP25" i="14"/>
  <c r="BP104" i="14" s="1"/>
  <c r="BT7" i="14"/>
  <c r="BT25" i="14" s="1"/>
  <c r="AK13" i="14"/>
  <c r="AU54" i="14"/>
  <c r="AX54" i="14" s="1"/>
  <c r="AS54" i="14"/>
  <c r="AP50" i="14"/>
  <c r="AU50" i="14" s="1"/>
  <c r="AK41" i="14"/>
  <c r="AF41" i="14"/>
  <c r="AE26" i="14"/>
  <c r="AS92" i="14"/>
  <c r="AT92" i="14"/>
  <c r="AX92" i="14" s="1"/>
  <c r="AS76" i="14"/>
  <c r="AT76" i="14"/>
  <c r="AX76" i="14" s="1"/>
  <c r="AR43" i="14"/>
  <c r="AK51" i="14"/>
  <c r="AQ51" i="14" s="1"/>
  <c r="AU51" i="14"/>
  <c r="AO21" i="14"/>
  <c r="H64" i="2"/>
  <c r="D63" i="2"/>
  <c r="K212" i="4"/>
  <c r="J69" i="2" s="1"/>
  <c r="I69" i="2"/>
  <c r="AH101" i="14"/>
  <c r="AE101" i="14"/>
  <c r="D72" i="2"/>
  <c r="H72" i="2" s="1"/>
  <c r="H73" i="2"/>
  <c r="AG102" i="14"/>
  <c r="AE102" i="14"/>
  <c r="AD102" i="14"/>
  <c r="AQ44" i="14"/>
  <c r="AV44" i="14" s="1"/>
  <c r="AP44" i="14"/>
  <c r="AU44" i="14" s="1"/>
  <c r="R326" i="4"/>
  <c r="E326" i="4"/>
  <c r="E270" i="4" s="1"/>
  <c r="I270" i="4" s="1"/>
  <c r="AQ93" i="14"/>
  <c r="AV93" i="14" s="1"/>
  <c r="AR47" i="14"/>
  <c r="AW47" i="14" s="1"/>
  <c r="AO46" i="14"/>
  <c r="AQ46" i="14"/>
  <c r="AV46" i="14" s="1"/>
  <c r="AU58" i="14"/>
  <c r="AS58" i="14"/>
  <c r="AQ38" i="14"/>
  <c r="AV38" i="14" s="1"/>
  <c r="AR78" i="14"/>
  <c r="AW78" i="14" s="1"/>
  <c r="AO78" i="14"/>
  <c r="AE91" i="14"/>
  <c r="AF91" i="14"/>
  <c r="AG91" i="14"/>
  <c r="AQ55" i="14"/>
  <c r="AV55" i="14" s="1"/>
  <c r="AF74" i="14"/>
  <c r="AP74" i="14" s="1"/>
  <c r="AU74" i="14" s="1"/>
  <c r="AI74" i="14"/>
  <c r="AK74" i="14"/>
  <c r="AK66" i="14"/>
  <c r="AQ66" i="14" s="1"/>
  <c r="AT19" i="14"/>
  <c r="I74" i="4"/>
  <c r="J74" i="4" s="1"/>
  <c r="D75" i="2"/>
  <c r="E56" i="4"/>
  <c r="K204" i="4"/>
  <c r="J66" i="2"/>
  <c r="J65" i="2" s="1"/>
  <c r="J63" i="2" s="1"/>
  <c r="AT39" i="14"/>
  <c r="AX39" i="14" s="1"/>
  <c r="AS39" i="14"/>
  <c r="AR13" i="14"/>
  <c r="AW13" i="14" s="1"/>
  <c r="AO50" i="14"/>
  <c r="H69" i="2"/>
  <c r="D65" i="2"/>
  <c r="H65" i="2" s="1"/>
  <c r="AK102" i="14"/>
  <c r="G380" i="4"/>
  <c r="AC91" i="14"/>
  <c r="AX61" i="14"/>
  <c r="AT36" i="14"/>
  <c r="AX36" i="14" s="1"/>
  <c r="AS36" i="14"/>
  <c r="AL24" i="14"/>
  <c r="AR24" i="14" s="1"/>
  <c r="AW24" i="14" s="1"/>
  <c r="AR15" i="14"/>
  <c r="AW15" i="14" s="1"/>
  <c r="AT43" i="14"/>
  <c r="AJ75" i="14"/>
  <c r="AK75" i="14"/>
  <c r="AO10" i="14"/>
  <c r="AT99" i="14"/>
  <c r="AX99" i="14" s="1"/>
  <c r="BO85" i="14"/>
  <c r="AF26" i="14"/>
  <c r="AN24" i="14"/>
  <c r="AO94" i="14"/>
  <c r="AI33" i="14"/>
  <c r="AH33" i="14"/>
  <c r="AG33" i="14"/>
  <c r="AJ33" i="14"/>
  <c r="AF33" i="14"/>
  <c r="AP33" i="14" s="1"/>
  <c r="K377" i="4"/>
  <c r="K16" i="3"/>
  <c r="AG15" i="14"/>
  <c r="AE15" i="14"/>
  <c r="AF15" i="14"/>
  <c r="I271" i="4"/>
  <c r="J271" i="4" s="1"/>
  <c r="AN75" i="14"/>
  <c r="AQ30" i="14"/>
  <c r="AV30" i="14" s="1"/>
  <c r="AR77" i="14"/>
  <c r="AW77" i="14" s="1"/>
  <c r="I65" i="2"/>
  <c r="I63" i="2" s="1"/>
  <c r="AP62" i="14"/>
  <c r="AO97" i="14"/>
  <c r="AT96" i="14"/>
  <c r="AX96" i="14" s="1"/>
  <c r="AS96" i="14"/>
  <c r="AU52" i="14"/>
  <c r="AX52" i="14" s="1"/>
  <c r="AS52" i="14"/>
  <c r="AQ9" i="14"/>
  <c r="AV9" i="14" s="1"/>
  <c r="F53" i="2"/>
  <c r="F48" i="2" s="1"/>
  <c r="F114" i="2" s="1"/>
  <c r="AU65" i="14"/>
  <c r="AX65" i="14" s="1"/>
  <c r="AS65" i="14"/>
  <c r="AT27" i="14"/>
  <c r="AP28" i="14"/>
  <c r="AF13" i="14"/>
  <c r="AD13" i="14"/>
  <c r="AI13" i="14"/>
  <c r="I307" i="4"/>
  <c r="D100" i="2"/>
  <c r="BQ104" i="14"/>
  <c r="AQ18" i="14"/>
  <c r="AV18" i="14" s="1"/>
  <c r="AH18" i="14"/>
  <c r="AD41" i="14"/>
  <c r="AI41" i="14"/>
  <c r="AJ41" i="14"/>
  <c r="AP60" i="14"/>
  <c r="AD26" i="14"/>
  <c r="AI26" i="14"/>
  <c r="AJ26" i="14"/>
  <c r="AO100" i="14"/>
  <c r="V103" i="14"/>
  <c r="AK86" i="14"/>
  <c r="AN86" i="14"/>
  <c r="AN103" i="14" s="1"/>
  <c r="AJ86" i="14"/>
  <c r="AB86" i="14"/>
  <c r="AG86" i="14" s="1"/>
  <c r="AG103" i="14" s="1"/>
  <c r="AM86" i="14"/>
  <c r="AI86" i="14"/>
  <c r="AH86" i="14"/>
  <c r="AD86" i="14"/>
  <c r="AD103" i="14" s="1"/>
  <c r="AL86" i="14"/>
  <c r="AQ95" i="14"/>
  <c r="AV95" i="14" s="1"/>
  <c r="AQ23" i="14"/>
  <c r="AV23" i="14" s="1"/>
  <c r="AR7" i="14"/>
  <c r="AQ7" i="14"/>
  <c r="V25" i="14"/>
  <c r="AR99" i="14"/>
  <c r="AW99" i="14" s="1"/>
  <c r="BO25" i="14"/>
  <c r="AG101" i="14"/>
  <c r="AN101" i="14"/>
  <c r="AI101" i="14"/>
  <c r="AQ101" i="14" s="1"/>
  <c r="AV101" i="14" s="1"/>
  <c r="AS82" i="14"/>
  <c r="AR49" i="14"/>
  <c r="AW49" i="14" s="1"/>
  <c r="AP10" i="14"/>
  <c r="AU10" i="14" s="1"/>
  <c r="AC102" i="14"/>
  <c r="AO102" i="14" s="1"/>
  <c r="AJ102" i="14"/>
  <c r="AH102" i="14"/>
  <c r="I264" i="4"/>
  <c r="J264" i="4" s="1"/>
  <c r="D98" i="2"/>
  <c r="H98" i="2" s="1"/>
  <c r="AR44" i="14"/>
  <c r="AW44" i="14" s="1"/>
  <c r="AO44" i="14"/>
  <c r="AO93" i="14"/>
  <c r="AG47" i="14"/>
  <c r="AE47" i="14"/>
  <c r="AO47" i="14" s="1"/>
  <c r="AF47" i="14"/>
  <c r="AP29" i="14"/>
  <c r="AX11" i="14"/>
  <c r="AQ58" i="14"/>
  <c r="AV58" i="14" s="1"/>
  <c r="AO38" i="14"/>
  <c r="BT86" i="14"/>
  <c r="BT103" i="14" s="1"/>
  <c r="AH91" i="14"/>
  <c r="AI91" i="14"/>
  <c r="AJ91" i="14"/>
  <c r="AK91" i="14"/>
  <c r="AQ16" i="14"/>
  <c r="AV16" i="14" s="1"/>
  <c r="AO55" i="14"/>
  <c r="AJ74" i="14"/>
  <c r="AN74" i="14"/>
  <c r="AN85" i="14" s="1"/>
  <c r="AM74" i="14"/>
  <c r="AR74" i="14" s="1"/>
  <c r="AW74" i="14" s="1"/>
  <c r="AP34" i="14"/>
  <c r="U25" i="14"/>
  <c r="AP42" i="14"/>
  <c r="AT95" i="14"/>
  <c r="AX95" i="14" s="1"/>
  <c r="AS95" i="14"/>
  <c r="AP53" i="14"/>
  <c r="AG75" i="14"/>
  <c r="AQ77" i="14"/>
  <c r="AV77" i="14" s="1"/>
  <c r="AU67" i="14"/>
  <c r="AX67" i="14" s="1"/>
  <c r="AS67" i="14"/>
  <c r="AQ64" i="14"/>
  <c r="AV64" i="14" s="1"/>
  <c r="AL26" i="14"/>
  <c r="AT56" i="14"/>
  <c r="AX56" i="14" s="1"/>
  <c r="AQ49" i="14"/>
  <c r="AV49" i="14" s="1"/>
  <c r="AR10" i="14"/>
  <c r="AW10" i="14" s="1"/>
  <c r="J136" i="4"/>
  <c r="AP99" i="14"/>
  <c r="AU99" i="14" s="1"/>
  <c r="AP87" i="14"/>
  <c r="AU87" i="14" s="1"/>
  <c r="AR16" i="14"/>
  <c r="AW16" i="14" s="1"/>
  <c r="AF24" i="14"/>
  <c r="AP24" i="14" s="1"/>
  <c r="AU24" i="14" s="1"/>
  <c r="AK53" i="14"/>
  <c r="AQ53" i="14" s="1"/>
  <c r="AV53" i="14" s="1"/>
  <c r="AQ35" i="14"/>
  <c r="AV35" i="14" s="1"/>
  <c r="AF75" i="14"/>
  <c r="AI75" i="14"/>
  <c r="AQ88" i="14"/>
  <c r="AV88" i="14" s="1"/>
  <c r="AP56" i="14"/>
  <c r="AU56" i="14" s="1"/>
  <c r="AU57" i="14"/>
  <c r="AX57" i="14" s="1"/>
  <c r="AS57" i="14"/>
  <c r="AE13" i="14"/>
  <c r="AO18" i="14"/>
  <c r="AU70" i="14"/>
  <c r="AX70" i="14" s="1"/>
  <c r="AS70" i="14"/>
  <c r="AE41" i="14"/>
  <c r="I247" i="4"/>
  <c r="J247" i="4" s="1"/>
  <c r="D97" i="2"/>
  <c r="H97" i="2" s="1"/>
  <c r="AC26" i="14"/>
  <c r="AP97" i="14"/>
  <c r="AU97" i="14" s="1"/>
  <c r="AU45" i="14"/>
  <c r="AX45" i="14" s="1"/>
  <c r="AS45" i="14"/>
  <c r="AR100" i="14"/>
  <c r="AW100" i="14" s="1"/>
  <c r="AQ98" i="14"/>
  <c r="AV98" i="14" s="1"/>
  <c r="AJ24" i="14"/>
  <c r="AQ24" i="14" s="1"/>
  <c r="AV24" i="14" s="1"/>
  <c r="AE24" i="14"/>
  <c r="F10" i="4"/>
  <c r="E57" i="2"/>
  <c r="I33" i="4"/>
  <c r="J33" i="4" s="1"/>
  <c r="K33" i="4" s="1"/>
  <c r="J57" i="2" s="1"/>
  <c r="K15" i="4"/>
  <c r="I55" i="2"/>
  <c r="BT85" i="14"/>
  <c r="AP35" i="14"/>
  <c r="I63" i="4"/>
  <c r="F56" i="4"/>
  <c r="F373" i="4"/>
  <c r="E54" i="2"/>
  <c r="AQ99" i="14"/>
  <c r="AV99" i="14" s="1"/>
  <c r="AD75" i="14"/>
  <c r="AO75" i="14" s="1"/>
  <c r="AM75" i="14"/>
  <c r="AQ43" i="14"/>
  <c r="AV43" i="14" s="1"/>
  <c r="AQ19" i="14"/>
  <c r="AV19" i="14" s="1"/>
  <c r="H57" i="2"/>
  <c r="D53" i="2"/>
  <c r="D48" i="2" s="1"/>
  <c r="AC24" i="14"/>
  <c r="AO24" i="14" s="1"/>
  <c r="AD24" i="14"/>
  <c r="J10" i="4"/>
  <c r="E61" i="2"/>
  <c r="I124" i="4"/>
  <c r="AD15" i="14"/>
  <c r="AO15" i="14" s="1"/>
  <c r="AI15" i="14"/>
  <c r="AQ15" i="14" s="1"/>
  <c r="AV15" i="14" s="1"/>
  <c r="AO12" i="14"/>
  <c r="AR89" i="14"/>
  <c r="AW89" i="14" s="1"/>
  <c r="BP85" i="14"/>
  <c r="AH75" i="14"/>
  <c r="AL75" i="14"/>
  <c r="AP30" i="14"/>
  <c r="AT71" i="14"/>
  <c r="AX71" i="14" s="1"/>
  <c r="AS71" i="14"/>
  <c r="AE77" i="14"/>
  <c r="AO77" i="14" s="1"/>
  <c r="AR88" i="14"/>
  <c r="AW88" i="14" s="1"/>
  <c r="J204" i="4"/>
  <c r="AQ62" i="14"/>
  <c r="AV62" i="14" s="1"/>
  <c r="AU59" i="14"/>
  <c r="AX59" i="14" s="1"/>
  <c r="AS59" i="14"/>
  <c r="AT23" i="14"/>
  <c r="AC9" i="14"/>
  <c r="AO9" i="14" s="1"/>
  <c r="AH9" i="14"/>
  <c r="AP9" i="14" s="1"/>
  <c r="AU9" i="14" s="1"/>
  <c r="AQ28" i="14"/>
  <c r="AV28" i="14" s="1"/>
  <c r="AJ13" i="14"/>
  <c r="AC13" i="14"/>
  <c r="AO13" i="14" s="1"/>
  <c r="AH13" i="14"/>
  <c r="AN18" i="14"/>
  <c r="AR18" i="14" s="1"/>
  <c r="AW18" i="14" s="1"/>
  <c r="AF18" i="14"/>
  <c r="AP64" i="14"/>
  <c r="AQ50" i="14"/>
  <c r="AV50" i="14" s="1"/>
  <c r="AC41" i="14"/>
  <c r="AO41" i="14" s="1"/>
  <c r="N100" i="4" s="1"/>
  <c r="AH41" i="14"/>
  <c r="AM41" i="14"/>
  <c r="I222" i="4"/>
  <c r="J222" i="4" s="1"/>
  <c r="D93" i="2"/>
  <c r="J379" i="4"/>
  <c r="I16" i="2"/>
  <c r="I11" i="2" s="1"/>
  <c r="I34" i="2" s="1"/>
  <c r="AQ60" i="14"/>
  <c r="AV60" i="14" s="1"/>
  <c r="AG26" i="14"/>
  <c r="AH26" i="14"/>
  <c r="AM26" i="14"/>
  <c r="AS73" i="14"/>
  <c r="AT73" i="14"/>
  <c r="AX73" i="14" s="1"/>
  <c r="AX80" i="14"/>
  <c r="E78" i="2"/>
  <c r="H79" i="2"/>
  <c r="H78" i="2" s="1"/>
  <c r="BO103" i="14"/>
  <c r="AS68" i="14"/>
  <c r="AK48" i="14"/>
  <c r="AQ48" i="14" s="1"/>
  <c r="AV48" i="14" s="1"/>
  <c r="AE48" i="14"/>
  <c r="AO48" i="14" s="1"/>
  <c r="AP43" i="14"/>
  <c r="AU43" i="14" s="1"/>
  <c r="U27" i="14"/>
  <c r="AO37" i="14"/>
  <c r="AR23" i="14"/>
  <c r="AW23" i="14" s="1"/>
  <c r="AP100" i="14"/>
  <c r="AU100" i="14" s="1"/>
  <c r="AP21" i="14"/>
  <c r="AU21" i="14" s="1"/>
  <c r="AO7" i="14"/>
  <c r="AP19" i="14"/>
  <c r="AU19" i="14" s="1"/>
  <c r="BK104" i="14"/>
  <c r="AF101" i="14"/>
  <c r="AP101" i="14" s="1"/>
  <c r="AU101" i="14" s="1"/>
  <c r="AL101" i="14"/>
  <c r="AR101" i="14" s="1"/>
  <c r="AW101" i="14" s="1"/>
  <c r="AD101" i="14"/>
  <c r="AO101" i="14" s="1"/>
  <c r="AX82" i="14"/>
  <c r="AG49" i="14"/>
  <c r="AE49" i="14"/>
  <c r="AO49" i="14" s="1"/>
  <c r="I341" i="4"/>
  <c r="J341" i="4" s="1"/>
  <c r="D103" i="2"/>
  <c r="H103" i="2" s="1"/>
  <c r="AQ10" i="14"/>
  <c r="AV10" i="14" s="1"/>
  <c r="AM102" i="14"/>
  <c r="AI102" i="14"/>
  <c r="AQ102" i="14" s="1"/>
  <c r="AV102" i="14" s="1"/>
  <c r="AF102" i="14"/>
  <c r="AP102" i="14" s="1"/>
  <c r="AU102" i="14" s="1"/>
  <c r="AX63" i="14"/>
  <c r="AF93" i="14"/>
  <c r="AG93" i="14"/>
  <c r="AH47" i="14"/>
  <c r="AI47" i="14"/>
  <c r="AQ47" i="14" s="1"/>
  <c r="AV47" i="14" s="1"/>
  <c r="AS79" i="14"/>
  <c r="AQ29" i="14"/>
  <c r="AV29" i="14" s="1"/>
  <c r="AG46" i="14"/>
  <c r="AP46" i="14" s="1"/>
  <c r="AU46" i="14" s="1"/>
  <c r="AM46" i="14"/>
  <c r="AR46" i="14" s="1"/>
  <c r="AW46" i="14" s="1"/>
  <c r="AS11" i="14"/>
  <c r="AX14" i="14"/>
  <c r="AG38" i="14"/>
  <c r="AP38" i="14" s="1"/>
  <c r="AU38" i="14" s="1"/>
  <c r="AJ78" i="14"/>
  <c r="AI78" i="14"/>
  <c r="AL91" i="14"/>
  <c r="AM91" i="14"/>
  <c r="AC16" i="14"/>
  <c r="AO16" i="14" s="1"/>
  <c r="AH16" i="14"/>
  <c r="AP55" i="14"/>
  <c r="AU55" i="14" s="1"/>
  <c r="AR55" i="14"/>
  <c r="AW55" i="14" s="1"/>
  <c r="AD74" i="14"/>
  <c r="AO74" i="14" s="1"/>
  <c r="AH74" i="14"/>
  <c r="AK34" i="14"/>
  <c r="AQ34" i="14" s="1"/>
  <c r="AV34" i="14" s="1"/>
  <c r="AN8" i="14"/>
  <c r="AN25" i="14" s="1"/>
  <c r="AN104" i="14" s="1"/>
  <c r="AJ8" i="14"/>
  <c r="AJ25" i="14" s="1"/>
  <c r="AB8" i="14"/>
  <c r="AF8" i="14" s="1"/>
  <c r="AM8" i="14"/>
  <c r="AM25" i="14" s="1"/>
  <c r="AI8" i="14"/>
  <c r="AL8" i="14"/>
  <c r="AH8" i="14"/>
  <c r="AH25" i="14" s="1"/>
  <c r="AD8" i="14"/>
  <c r="AD25" i="14" s="1"/>
  <c r="AC8" i="14"/>
  <c r="AK8" i="14"/>
  <c r="AK25" i="14" s="1"/>
  <c r="AQ42" i="14"/>
  <c r="AV42" i="14" s="1"/>
  <c r="H380" i="4" l="1"/>
  <c r="H25" i="3"/>
  <c r="H29" i="3" s="1"/>
  <c r="H31" i="3" s="1"/>
  <c r="H39" i="3" s="1"/>
  <c r="G25" i="3"/>
  <c r="G29" i="3" s="1"/>
  <c r="G31" i="3" s="1"/>
  <c r="G39" i="3" s="1"/>
  <c r="F372" i="4"/>
  <c r="F374" i="4" s="1"/>
  <c r="N106" i="4"/>
  <c r="N386" i="4"/>
  <c r="AT48" i="14"/>
  <c r="AX48" i="14" s="1"/>
  <c r="AS48" i="14"/>
  <c r="AT47" i="14"/>
  <c r="AO116" i="14"/>
  <c r="AS49" i="14"/>
  <c r="AT49" i="14"/>
  <c r="AX49" i="14" s="1"/>
  <c r="AT75" i="14"/>
  <c r="AV66" i="14"/>
  <c r="AS66" i="14"/>
  <c r="AT74" i="14"/>
  <c r="AV51" i="14"/>
  <c r="AS51" i="14"/>
  <c r="AT101" i="14"/>
  <c r="AX101" i="14" s="1"/>
  <c r="AS101" i="14"/>
  <c r="AS77" i="14"/>
  <c r="AT77" i="14"/>
  <c r="AX77" i="14" s="1"/>
  <c r="AF25" i="14"/>
  <c r="AT15" i="14"/>
  <c r="AV32" i="14"/>
  <c r="AX32" i="14" s="1"/>
  <c r="AS32" i="14"/>
  <c r="E60" i="2"/>
  <c r="H61" i="2"/>
  <c r="J55" i="2"/>
  <c r="K74" i="4"/>
  <c r="I75" i="2"/>
  <c r="I74" i="2" s="1"/>
  <c r="AR8" i="14"/>
  <c r="AW8" i="14" s="1"/>
  <c r="AS37" i="14"/>
  <c r="AT37" i="14"/>
  <c r="AX37" i="14" s="1"/>
  <c r="AM85" i="14"/>
  <c r="K247" i="4"/>
  <c r="J97" i="2" s="1"/>
  <c r="I97" i="2"/>
  <c r="AT18" i="14"/>
  <c r="AX18" i="14" s="1"/>
  <c r="AU53" i="14"/>
  <c r="AX53" i="14" s="1"/>
  <c r="AS53" i="14"/>
  <c r="AU42" i="14"/>
  <c r="AX42" i="14" s="1"/>
  <c r="AS42" i="14"/>
  <c r="AU29" i="14"/>
  <c r="AX29" i="14" s="1"/>
  <c r="AS29" i="14"/>
  <c r="AT93" i="14"/>
  <c r="AS93" i="14"/>
  <c r="K264" i="4"/>
  <c r="J98" i="2" s="1"/>
  <c r="I98" i="2"/>
  <c r="BO104" i="14"/>
  <c r="AV7" i="14"/>
  <c r="AH103" i="14"/>
  <c r="AC86" i="14"/>
  <c r="AD85" i="14"/>
  <c r="AD104" i="14" s="1"/>
  <c r="AQ13" i="14"/>
  <c r="AV13" i="14" s="1"/>
  <c r="AT97" i="14"/>
  <c r="AX97" i="14" s="1"/>
  <c r="AS97" i="14"/>
  <c r="K271" i="4"/>
  <c r="I10" i="4"/>
  <c r="AS99" i="14"/>
  <c r="AS43" i="14"/>
  <c r="AO91" i="14"/>
  <c r="AS19" i="14"/>
  <c r="AT78" i="14"/>
  <c r="AX58" i="14"/>
  <c r="AT21" i="14"/>
  <c r="AX21" i="14" s="1"/>
  <c r="AS21" i="14"/>
  <c r="AW43" i="14"/>
  <c r="AP41" i="14"/>
  <c r="AU41" i="14" s="1"/>
  <c r="AR20" i="14"/>
  <c r="AW20" i="14" s="1"/>
  <c r="AR41" i="14"/>
  <c r="E135" i="4"/>
  <c r="E372" i="4" s="1"/>
  <c r="AX87" i="14"/>
  <c r="AX88" i="14"/>
  <c r="AU28" i="14"/>
  <c r="AX28" i="14" s="1"/>
  <c r="AS28" i="14"/>
  <c r="AU33" i="14"/>
  <c r="H63" i="2"/>
  <c r="D60" i="2"/>
  <c r="AO8" i="14"/>
  <c r="AO25" i="14" s="1"/>
  <c r="AR91" i="14"/>
  <c r="AW91" i="14" s="1"/>
  <c r="K341" i="4"/>
  <c r="J103" i="2" s="1"/>
  <c r="I103" i="2"/>
  <c r="AU64" i="14"/>
  <c r="AX64" i="14" s="1"/>
  <c r="AS64" i="14"/>
  <c r="AG8" i="14"/>
  <c r="AG25" i="14" s="1"/>
  <c r="AE8" i="14"/>
  <c r="AE25" i="14" s="1"/>
  <c r="AQ78" i="14"/>
  <c r="AV78" i="14" s="1"/>
  <c r="AP93" i="14"/>
  <c r="AU93" i="14" s="1"/>
  <c r="AS7" i="14"/>
  <c r="AT7" i="14"/>
  <c r="V27" i="14"/>
  <c r="U85" i="14"/>
  <c r="U104" i="14" s="1"/>
  <c r="AT13" i="14"/>
  <c r="AT9" i="14"/>
  <c r="AX9" i="14" s="1"/>
  <c r="AS9" i="14"/>
  <c r="AU30" i="14"/>
  <c r="AX30" i="14" s="1"/>
  <c r="AS30" i="14"/>
  <c r="I135" i="4"/>
  <c r="AT38" i="14"/>
  <c r="AX38" i="14" s="1"/>
  <c r="AS38" i="14"/>
  <c r="AP47" i="14"/>
  <c r="AU47" i="14" s="1"/>
  <c r="AS44" i="14"/>
  <c r="AT44" i="14"/>
  <c r="AX44" i="14" s="1"/>
  <c r="AE86" i="14"/>
  <c r="AE103" i="14" s="1"/>
  <c r="AF86" i="14"/>
  <c r="AS100" i="14"/>
  <c r="AT100" i="14"/>
  <c r="AX100" i="14" s="1"/>
  <c r="AU60" i="14"/>
  <c r="AX60" i="14" s="1"/>
  <c r="AS60" i="14"/>
  <c r="AQ41" i="14"/>
  <c r="AV41" i="14" s="1"/>
  <c r="AU62" i="14"/>
  <c r="AX62" i="14" s="1"/>
  <c r="AS62" i="14"/>
  <c r="K376" i="4"/>
  <c r="E12" i="5"/>
  <c r="J84" i="2"/>
  <c r="AT94" i="14"/>
  <c r="AX94" i="14" s="1"/>
  <c r="AS94" i="14"/>
  <c r="AP26" i="14"/>
  <c r="AT10" i="14"/>
  <c r="AX10" i="14" s="1"/>
  <c r="AS10" i="14"/>
  <c r="AX43" i="14"/>
  <c r="I56" i="4"/>
  <c r="AX19" i="14"/>
  <c r="I326" i="4"/>
  <c r="J326" i="4" s="1"/>
  <c r="J270" i="4" s="1"/>
  <c r="J135" i="4" s="1"/>
  <c r="D101" i="2"/>
  <c r="H101" i="2" s="1"/>
  <c r="AC20" i="14"/>
  <c r="AO20" i="14" s="1"/>
  <c r="AX31" i="14"/>
  <c r="AU7" i="14"/>
  <c r="AS87" i="14"/>
  <c r="AS88" i="14"/>
  <c r="K222" i="4"/>
  <c r="J93" i="2" s="1"/>
  <c r="I93" i="2"/>
  <c r="AX23" i="14"/>
  <c r="AT24" i="14"/>
  <c r="AX24" i="14" s="1"/>
  <c r="AS24" i="14"/>
  <c r="E53" i="2"/>
  <c r="E48" i="2" s="1"/>
  <c r="E114" i="2" s="1"/>
  <c r="H54" i="2"/>
  <c r="H53" i="2" s="1"/>
  <c r="H48" i="2" s="1"/>
  <c r="AU35" i="14"/>
  <c r="AX35" i="14" s="1"/>
  <c r="AS35" i="14"/>
  <c r="AP75" i="14"/>
  <c r="AU75" i="14" s="1"/>
  <c r="AT102" i="14"/>
  <c r="AX102" i="14" s="1"/>
  <c r="AS102" i="14"/>
  <c r="AW7" i="14"/>
  <c r="AW25" i="14" s="1"/>
  <c r="AM103" i="14"/>
  <c r="AM104" i="14" s="1"/>
  <c r="AQ26" i="14"/>
  <c r="AE85" i="14"/>
  <c r="AQ8" i="14"/>
  <c r="AV8" i="14" s="1"/>
  <c r="AT16" i="14"/>
  <c r="AX16" i="14" s="1"/>
  <c r="AS16" i="14"/>
  <c r="AC25" i="14"/>
  <c r="D92" i="2"/>
  <c r="H93" i="2"/>
  <c r="H92" i="2" s="1"/>
  <c r="AT41" i="14"/>
  <c r="AS41" i="14"/>
  <c r="AP18" i="14"/>
  <c r="AU18" i="14" s="1"/>
  <c r="AS23" i="14"/>
  <c r="AR75" i="14"/>
  <c r="AW75" i="14" s="1"/>
  <c r="AT12" i="14"/>
  <c r="AX12" i="14" s="1"/>
  <c r="AS12" i="14"/>
  <c r="J63" i="4"/>
  <c r="I373" i="4"/>
  <c r="AC85" i="14"/>
  <c r="AO26" i="14"/>
  <c r="AQ75" i="14"/>
  <c r="AV75" i="14" s="1"/>
  <c r="K136" i="4"/>
  <c r="I73" i="2"/>
  <c r="I72" i="2" s="1"/>
  <c r="I60" i="2" s="1"/>
  <c r="AS56" i="14"/>
  <c r="AL85" i="14"/>
  <c r="AR26" i="14"/>
  <c r="AU34" i="14"/>
  <c r="AX34" i="14" s="1"/>
  <c r="AS34" i="14"/>
  <c r="AT55" i="14"/>
  <c r="AX55" i="14" s="1"/>
  <c r="AS55" i="14"/>
  <c r="AQ91" i="14"/>
  <c r="AV91" i="14" s="1"/>
  <c r="AL25" i="14"/>
  <c r="AL104" i="14" s="1"/>
  <c r="AL103" i="14"/>
  <c r="AR86" i="14"/>
  <c r="AI103" i="14"/>
  <c r="AQ86" i="14"/>
  <c r="AJ103" i="14"/>
  <c r="AK103" i="14"/>
  <c r="H100" i="2"/>
  <c r="AP13" i="14"/>
  <c r="AU13" i="14" s="1"/>
  <c r="AP15" i="14"/>
  <c r="AU15" i="14" s="1"/>
  <c r="AK33" i="14"/>
  <c r="AQ33" i="14" s="1"/>
  <c r="AS50" i="14"/>
  <c r="AT50" i="14"/>
  <c r="AX50" i="14" s="1"/>
  <c r="H75" i="2"/>
  <c r="D74" i="2"/>
  <c r="H74" i="2" s="1"/>
  <c r="AQ74" i="14"/>
  <c r="AV74" i="14" s="1"/>
  <c r="AP91" i="14"/>
  <c r="AU91" i="14" s="1"/>
  <c r="AT46" i="14"/>
  <c r="AX46" i="14" s="1"/>
  <c r="AS46" i="14"/>
  <c r="AX51" i="14"/>
  <c r="BT104" i="14"/>
  <c r="I57" i="2"/>
  <c r="AX66" i="14"/>
  <c r="AI20" i="14"/>
  <c r="AQ20" i="14" s="1"/>
  <c r="AV20" i="14" s="1"/>
  <c r="AF20" i="14"/>
  <c r="AP20" i="14" s="1"/>
  <c r="AU20" i="14" s="1"/>
  <c r="AS31" i="14"/>
  <c r="K10" i="4"/>
  <c r="AX89" i="14"/>
  <c r="AX98" i="14"/>
  <c r="F25" i="3" l="1"/>
  <c r="F29" i="3" s="1"/>
  <c r="F31" i="3" s="1"/>
  <c r="F39" i="3" s="1"/>
  <c r="J92" i="2"/>
  <c r="I92" i="2"/>
  <c r="F380" i="4"/>
  <c r="AO114" i="14"/>
  <c r="AV33" i="14"/>
  <c r="AS33" i="14"/>
  <c r="AQ103" i="14"/>
  <c r="P102" i="4" s="1"/>
  <c r="P389" i="4" s="1"/>
  <c r="AV86" i="14"/>
  <c r="AV103" i="14" s="1"/>
  <c r="P108" i="4" s="1"/>
  <c r="AW114" i="14"/>
  <c r="Q110" i="4"/>
  <c r="AX13" i="14"/>
  <c r="AS78" i="14"/>
  <c r="AQ25" i="14"/>
  <c r="D114" i="2"/>
  <c r="D115" i="2" s="1"/>
  <c r="AS75" i="14"/>
  <c r="H99" i="2"/>
  <c r="K63" i="4"/>
  <c r="J56" i="4"/>
  <c r="J372" i="4" s="1"/>
  <c r="I54" i="2"/>
  <c r="I53" i="2" s="1"/>
  <c r="I48" i="2" s="1"/>
  <c r="J373" i="4"/>
  <c r="AQ115" i="14"/>
  <c r="AV26" i="14"/>
  <c r="AR25" i="14"/>
  <c r="AS20" i="14"/>
  <c r="AT20" i="14"/>
  <c r="AX20" i="14" s="1"/>
  <c r="K326" i="4"/>
  <c r="J101" i="2" s="1"/>
  <c r="J99" i="2" s="1"/>
  <c r="I101" i="2"/>
  <c r="I99" i="2" s="1"/>
  <c r="AE104" i="14"/>
  <c r="AX33" i="14"/>
  <c r="AC103" i="14"/>
  <c r="AC104" i="14" s="1"/>
  <c r="AO86" i="14"/>
  <c r="AX93" i="14"/>
  <c r="AS18" i="14"/>
  <c r="AP8" i="14"/>
  <c r="AX74" i="14"/>
  <c r="J73" i="2"/>
  <c r="J72" i="2" s="1"/>
  <c r="J60" i="2" s="1"/>
  <c r="AT25" i="14"/>
  <c r="AX7" i="14"/>
  <c r="AT8" i="14"/>
  <c r="AS8" i="14"/>
  <c r="D99" i="2"/>
  <c r="AR103" i="14"/>
  <c r="Q102" i="4" s="1"/>
  <c r="Q389" i="4" s="1"/>
  <c r="AW86" i="14"/>
  <c r="AW103" i="14" s="1"/>
  <c r="Q108" i="4" s="1"/>
  <c r="AO115" i="14"/>
  <c r="AO85" i="14"/>
  <c r="AT26" i="14"/>
  <c r="AS26" i="14"/>
  <c r="AF103" i="14"/>
  <c r="AP86" i="14"/>
  <c r="AS25" i="14"/>
  <c r="E380" i="4"/>
  <c r="E374" i="4"/>
  <c r="I372" i="4"/>
  <c r="E25" i="3"/>
  <c r="E29" i="3" s="1"/>
  <c r="E31" i="3" s="1"/>
  <c r="E39" i="3" s="1"/>
  <c r="AR116" i="14"/>
  <c r="AS91" i="14"/>
  <c r="AT91" i="14"/>
  <c r="AX91" i="14" s="1"/>
  <c r="H60" i="2"/>
  <c r="H114" i="2" s="1"/>
  <c r="H115" i="2" s="1"/>
  <c r="AS15" i="14"/>
  <c r="AS74" i="14"/>
  <c r="AX47" i="14"/>
  <c r="AI25" i="14"/>
  <c r="AT116" i="14"/>
  <c r="AR115" i="14"/>
  <c r="AR85" i="14"/>
  <c r="AW26" i="14"/>
  <c r="AP115" i="14"/>
  <c r="AU26" i="14"/>
  <c r="AS13" i="14"/>
  <c r="AJ27" i="14"/>
  <c r="AJ85" i="14" s="1"/>
  <c r="AJ104" i="14" s="1"/>
  <c r="AF27" i="14"/>
  <c r="AI27" i="14"/>
  <c r="AH27" i="14"/>
  <c r="AH85" i="14" s="1"/>
  <c r="AH104" i="14" s="1"/>
  <c r="AG27" i="14"/>
  <c r="AG85" i="14" s="1"/>
  <c r="AG104" i="14" s="1"/>
  <c r="V85" i="14"/>
  <c r="V104" i="14" s="1"/>
  <c r="AW41" i="14"/>
  <c r="AX41" i="14" s="1"/>
  <c r="Q100" i="4"/>
  <c r="AW116" i="14"/>
  <c r="AX78" i="14"/>
  <c r="AV25" i="14"/>
  <c r="J75" i="2"/>
  <c r="J74" i="2" s="1"/>
  <c r="AX15" i="14"/>
  <c r="AX75" i="14"/>
  <c r="AS47" i="14"/>
  <c r="K270" i="4" l="1"/>
  <c r="K135" i="4" s="1"/>
  <c r="I9" i="2"/>
  <c r="I8" i="2"/>
  <c r="J374" i="4"/>
  <c r="J380" i="4"/>
  <c r="J25" i="3"/>
  <c r="AP103" i="14"/>
  <c r="O102" i="4" s="1"/>
  <c r="O389" i="4" s="1"/>
  <c r="AU86" i="14"/>
  <c r="AU103" i="14" s="1"/>
  <c r="O108" i="4" s="1"/>
  <c r="AS115" i="14"/>
  <c r="AO103" i="14"/>
  <c r="N102" i="4" s="1"/>
  <c r="AS86" i="14"/>
  <c r="AS103" i="14" s="1"/>
  <c r="AS107" i="14" s="1"/>
  <c r="AT86" i="14"/>
  <c r="K56" i="4"/>
  <c r="K372" i="4" s="1"/>
  <c r="J54" i="2"/>
  <c r="J53" i="2" s="1"/>
  <c r="J48" i="2" s="1"/>
  <c r="K373" i="4"/>
  <c r="E9" i="2"/>
  <c r="E8" i="2"/>
  <c r="AU115" i="14"/>
  <c r="AT114" i="14"/>
  <c r="N110" i="4"/>
  <c r="AP27" i="14"/>
  <c r="AF85" i="14"/>
  <c r="AF104" i="14" s="1"/>
  <c r="Q106" i="4"/>
  <c r="Q386" i="4"/>
  <c r="AK27" i="14"/>
  <c r="AK85" i="14" s="1"/>
  <c r="AK104" i="14" s="1"/>
  <c r="AW115" i="14"/>
  <c r="AW85" i="14"/>
  <c r="AW104" i="14" s="1"/>
  <c r="AI104" i="14"/>
  <c r="AU8" i="14"/>
  <c r="AU25" i="14" s="1"/>
  <c r="AP25" i="14"/>
  <c r="AR114" i="14"/>
  <c r="AR104" i="14"/>
  <c r="AQ114" i="14"/>
  <c r="AO117" i="14"/>
  <c r="N104" i="4"/>
  <c r="AQ27" i="14"/>
  <c r="AI85" i="14"/>
  <c r="AV114" i="14"/>
  <c r="P110" i="4"/>
  <c r="I380" i="4"/>
  <c r="I374" i="4"/>
  <c r="I25" i="3"/>
  <c r="I29" i="3" s="1"/>
  <c r="I31" i="3" s="1"/>
  <c r="AT115" i="14"/>
  <c r="AT85" i="14"/>
  <c r="AX26" i="14"/>
  <c r="AV115" i="14"/>
  <c r="AW117" i="14"/>
  <c r="AU114" i="14" l="1"/>
  <c r="O110" i="4"/>
  <c r="AX115" i="14"/>
  <c r="AX8" i="14"/>
  <c r="AX25" i="14" s="1"/>
  <c r="Q105" i="4"/>
  <c r="Q109" i="4"/>
  <c r="R110" i="4"/>
  <c r="R102" i="4"/>
  <c r="N103" i="4"/>
  <c r="R103" i="4" s="1"/>
  <c r="N99" i="4"/>
  <c r="AO104" i="14"/>
  <c r="C14" i="5"/>
  <c r="I39" i="3"/>
  <c r="AR117" i="14"/>
  <c r="Q104" i="4"/>
  <c r="E115" i="2"/>
  <c r="K380" i="4"/>
  <c r="K374" i="4"/>
  <c r="K25" i="3"/>
  <c r="L25" i="3"/>
  <c r="J29" i="3"/>
  <c r="J31" i="3" s="1"/>
  <c r="N385" i="4"/>
  <c r="P104" i="4"/>
  <c r="P385" i="4" s="1"/>
  <c r="AP116" i="14"/>
  <c r="AS116" i="14" s="1"/>
  <c r="AU27" i="14"/>
  <c r="O100" i="4"/>
  <c r="AS27" i="14"/>
  <c r="AS85" i="14" s="1"/>
  <c r="AS104" i="14" s="1"/>
  <c r="AS106" i="14" s="1"/>
  <c r="AS108" i="14" s="1"/>
  <c r="AP85" i="14"/>
  <c r="AP104" i="14" s="1"/>
  <c r="AQ116" i="14"/>
  <c r="AQ117" i="14" s="1"/>
  <c r="AV27" i="14"/>
  <c r="P100" i="4"/>
  <c r="AQ85" i="14"/>
  <c r="AQ104" i="14" s="1"/>
  <c r="AP114" i="14"/>
  <c r="AT117" i="14"/>
  <c r="AX114" i="14"/>
  <c r="AT103" i="14"/>
  <c r="N108" i="4" s="1"/>
  <c r="AX86" i="14"/>
  <c r="AX103" i="14" s="1"/>
  <c r="AV116" i="14" l="1"/>
  <c r="AV117" i="14" s="1"/>
  <c r="AV85" i="14"/>
  <c r="AV104" i="14" s="1"/>
  <c r="P391" i="4"/>
  <c r="M25" i="3"/>
  <c r="K29" i="3"/>
  <c r="K31" i="3" s="1"/>
  <c r="O106" i="4"/>
  <c r="O386" i="4"/>
  <c r="R100" i="4"/>
  <c r="R99" i="4" s="1"/>
  <c r="D14" i="5"/>
  <c r="J39" i="3"/>
  <c r="I40" i="3"/>
  <c r="I83" i="2" s="1"/>
  <c r="I79" i="2" s="1"/>
  <c r="I78" i="2" s="1"/>
  <c r="I114" i="2" s="1"/>
  <c r="I115" i="2" s="1"/>
  <c r="P103" i="4"/>
  <c r="P99" i="4"/>
  <c r="P106" i="4"/>
  <c r="P386" i="4"/>
  <c r="P390" i="4" s="1"/>
  <c r="P387" i="4" s="1"/>
  <c r="Q385" i="4"/>
  <c r="Q103" i="4"/>
  <c r="Q99" i="4" s="1"/>
  <c r="R108" i="4"/>
  <c r="N109" i="4"/>
  <c r="R109" i="4" s="1"/>
  <c r="AP117" i="14"/>
  <c r="O104" i="4"/>
  <c r="AS114" i="14"/>
  <c r="AS117" i="14" s="1"/>
  <c r="AU116" i="14"/>
  <c r="AX116" i="14" s="1"/>
  <c r="AX117" i="14" s="1"/>
  <c r="AX27" i="14"/>
  <c r="AX85" i="14" s="1"/>
  <c r="AX104" i="14" s="1"/>
  <c r="AU85" i="14"/>
  <c r="AU104" i="14" s="1"/>
  <c r="N391" i="4"/>
  <c r="R385" i="4"/>
  <c r="J26" i="3"/>
  <c r="J28" i="3"/>
  <c r="J27" i="3"/>
  <c r="F9" i="2"/>
  <c r="F8" i="2"/>
  <c r="N389" i="4"/>
  <c r="R389" i="4" s="1"/>
  <c r="AT104" i="14"/>
  <c r="I41" i="3" l="1"/>
  <c r="F115" i="2"/>
  <c r="G8" i="2" s="1"/>
  <c r="J381" i="4"/>
  <c r="K26" i="3"/>
  <c r="K381" i="4" s="1"/>
  <c r="O385" i="4"/>
  <c r="R104" i="4"/>
  <c r="P105" i="4"/>
  <c r="P109" i="4"/>
  <c r="C13" i="5"/>
  <c r="I42" i="3"/>
  <c r="I43" i="3" s="1"/>
  <c r="E14" i="5"/>
  <c r="K39" i="3"/>
  <c r="J382" i="4"/>
  <c r="K27" i="3"/>
  <c r="K382" i="4" s="1"/>
  <c r="N390" i="4"/>
  <c r="N387" i="4" s="1"/>
  <c r="R387" i="4" s="1"/>
  <c r="J40" i="3"/>
  <c r="J83" i="2" s="1"/>
  <c r="J79" i="2" s="1"/>
  <c r="J78" i="2" s="1"/>
  <c r="J114" i="2" s="1"/>
  <c r="O103" i="4"/>
  <c r="O99" i="4" s="1"/>
  <c r="G9" i="2"/>
  <c r="R391" i="4"/>
  <c r="R386" i="4"/>
  <c r="R390" i="4" s="1"/>
  <c r="J383" i="4"/>
  <c r="K28" i="3"/>
  <c r="K383" i="4" s="1"/>
  <c r="N105" i="4"/>
  <c r="Q391" i="4"/>
  <c r="Q390" i="4"/>
  <c r="Q387" i="4" s="1"/>
  <c r="AU117" i="14"/>
  <c r="J9" i="2"/>
  <c r="J8" i="2"/>
  <c r="O109" i="4"/>
  <c r="O105" i="4"/>
  <c r="R106" i="4"/>
  <c r="R105" i="4" s="1"/>
  <c r="G115" i="2" l="1"/>
  <c r="J41" i="3"/>
  <c r="K40" i="3"/>
  <c r="K41" i="3" s="1"/>
  <c r="O390" i="4"/>
  <c r="O387" i="4" s="1"/>
  <c r="O391" i="4"/>
  <c r="J115" i="2"/>
  <c r="C15" i="5"/>
  <c r="I85" i="2"/>
  <c r="E13" i="5" l="1"/>
  <c r="K42" i="3"/>
  <c r="E15" i="5" s="1"/>
  <c r="J42" i="3"/>
  <c r="D13" i="5"/>
  <c r="D15" i="5" l="1"/>
  <c r="J85" i="2"/>
  <c r="J43" i="3"/>
  <c r="K43" i="3"/>
</calcChain>
</file>

<file path=xl/comments1.xml><?xml version="1.0" encoding="utf-8"?>
<comments xmlns="http://schemas.openxmlformats.org/spreadsheetml/2006/main">
  <authors>
    <author/>
  </authors>
  <commentList>
    <comment ref="D15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погашение ДЗ</t>
        </r>
      </text>
    </comment>
    <comment ref="D20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погаш ДЗ 4,40 "СК Град (ООО) б/н от 01.08.2018 Реализация Контейнер МКР 1,3Л4-1,0ППР1 (90х90х135 см длина стропы 90 см)с 91.01.</t>
        </r>
      </text>
    </comment>
    <comment ref="D21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2058,36 тек оплата + 8 812,29 погаш ДЗ + 68,98 погаш просроч ДЗ</t>
        </r>
      </text>
    </comment>
    <comment ref="D3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возврат переплаты за прр кз</t>
        </r>
      </text>
    </comment>
    <comment ref="D59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100 ангара рассрочка платежа</t>
        </r>
      </text>
    </comment>
    <comment ref="E59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300 ангара рассрочка платежа +500 лапы на трелевочник</t>
        </r>
      </text>
    </comment>
    <comment ref="F59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2820 ангара оконч платеж</t>
        </r>
      </text>
    </comment>
    <comment ref="D73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-266,12 аванс кз</t>
        </r>
      </text>
    </comment>
    <comment ref="E73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-54,39 остаток аванса кз</t>
        </r>
      </text>
    </comment>
    <comment ref="D81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-28,14 кз</t>
        </r>
        <r>
          <rPr>
            <sz val="11"/>
            <color theme="1"/>
            <rFont val="Calibri"/>
            <family val="2"/>
            <charset val="204"/>
          </rPr>
          <t xml:space="preserve">
</t>
        </r>
      </text>
    </comment>
    <comment ref="D8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КЗ 2018 -907,17</t>
        </r>
        <r>
          <rPr>
            <sz val="11"/>
            <color theme="1"/>
            <rFont val="Calibri"/>
            <family val="2"/>
            <charset val="204"/>
          </rPr>
          <t xml:space="preserve">
</t>
        </r>
      </text>
    </comment>
    <comment ref="E8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1 кв</t>
        </r>
      </text>
    </comment>
    <comment ref="I8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4 кв 2019-518,74 + 1,2,3 кв. 2020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11"/>
            <color theme="1"/>
            <rFont val="Calibri"/>
            <family val="2"/>
            <charset val="204"/>
          </rPr>
          <t xml:space="preserve">
</t>
        </r>
      </text>
    </comment>
    <comment ref="D83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6372,78 кз 2018 + 3568,79 1 кв 2019 (получили прибыль в 3 кв 18 г 71375,77*0,2=14275,15/4=3568,79 оплатили в 1 кв, далее зачет в связи с убыточными кварталами, в этом году не возместим т.к. срок сдачи декларации 28 марта)</t>
        </r>
      </text>
    </comment>
    <comment ref="D84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НДС за 4 кв 2018 г</t>
        </r>
      </text>
    </comment>
    <comment ref="E84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НДС 1 кв</t>
        </r>
      </text>
    </comment>
    <comment ref="E85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за 2018 г</t>
        </r>
      </text>
    </comment>
    <comment ref="E86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ангара</t>
        </r>
      </text>
    </comment>
    <comment ref="D96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К+ 55,75 ежекв + 10,56744 контурЭкстерн</t>
        </r>
      </text>
    </comment>
    <comment ref="D97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-54,59</t>
        </r>
        <r>
          <rPr>
            <sz val="11"/>
            <color theme="1"/>
            <rFont val="Calibri"/>
            <family val="2"/>
            <charset val="204"/>
          </rPr>
          <t xml:space="preserve">
</t>
        </r>
      </text>
    </comment>
    <comment ref="D98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+35 с 91 сч</t>
        </r>
      </text>
    </comment>
    <comment ref="D108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-240,52 кз 2018</t>
        </r>
      </text>
    </comment>
    <comment ref="D110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71,30 кз</t>
        </r>
      </text>
    </comment>
    <comment ref="D11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+50 усл банка с 91 + 50 юбилей создания пп с 5 р,+36 кз</t>
        </r>
      </text>
    </comment>
    <comment ref="F11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+50 банк + 2100 зверка (оплатили они в 2018 г)</t>
        </r>
        <r>
          <rPr>
            <sz val="11"/>
            <color theme="1"/>
            <rFont val="Calibri"/>
            <family val="2"/>
            <charset val="204"/>
          </rPr>
          <t xml:space="preserve">
</t>
        </r>
      </text>
    </comment>
    <comment ref="G11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+50 усл банка с 91 + 54 нг подарки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J136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+75 Установка и настройка КВ радиостанцийI S-78 5 шт.+Проведение испытаний электрооборудования технических устройст, Экспертиза промышленной безопасности Норильск, вальковское шоссе, 14км., территория МП "Таймыр" (кран МКГ-25.01 завод. №96, рег. №2843)проводили экспертизу в 3 кв 2018 г., срок 2 год</t>
        </r>
      </text>
    </comment>
    <comment ref="K136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-50 т.к. испытания крана на 2 года</t>
        </r>
      </text>
    </comment>
    <comment ref="P198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доставка тмц</t>
        </r>
      </text>
    </comment>
    <comment ref="Q198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доставка тмц</t>
        </r>
      </text>
    </comment>
    <comment ref="E369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из расчета 92 челпо шт. численности/2 право на проезд один раз в два года/4 квартала и * ср.цену билетов 30 т.р.</t>
        </r>
      </text>
    </comment>
    <comment ref="F369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из расчета 92 челпо шт. численности/2 право на проезд один раз в два года/4 квартала и * ср.цену билетов 30 т.р.</t>
        </r>
      </text>
    </comment>
    <comment ref="G369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из расчета 92 челпо шт. численности/2 право на проезд один раз в два года/4 квартала и * ср.цену билетов 30 т.р.</t>
        </r>
      </text>
    </comment>
    <comment ref="H369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из расчета 92 челпо шт. численности/2 право на проезд один раз в два года/4 квартала и * ср.цену билетов 30 т.р.</t>
        </r>
      </text>
    </comment>
  </commentList>
</comments>
</file>

<file path=xl/comments3.xml><?xml version="1.0" encoding="utf-8"?>
<comments xmlns="http://schemas.openxmlformats.org/spreadsheetml/2006/main">
  <authors>
    <author>ЮЛИЯ</author>
  </authors>
  <commentList>
    <comment ref="F43" authorId="0">
      <text>
        <r>
          <rPr>
            <b/>
            <sz val="9"/>
            <color indexed="81"/>
            <rFont val="Tahoma"/>
            <family val="2"/>
            <charset val="204"/>
          </rPr>
          <t>ЮЛИЯ:</t>
        </r>
        <r>
          <rPr>
            <sz val="9"/>
            <color indexed="81"/>
            <rFont val="Tahoma"/>
            <family val="2"/>
            <charset val="204"/>
          </rPr>
          <t xml:space="preserve">
46,14 половина от реалищации
839,77 - половина от амортизации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Q14" authorId="0">
      <text>
        <r>
          <rPr>
            <b/>
            <sz val="9"/>
            <rFont val="Tahoma"/>
            <family val="2"/>
            <charset val="204"/>
          </rPr>
          <t>Администратор: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14,50</t>
        </r>
      </text>
    </comment>
    <comment ref="C17" authorId="0">
      <text>
        <r>
          <rPr>
            <b/>
            <sz val="9"/>
            <rFont val="Tahoma"/>
            <family val="2"/>
            <charset val="204"/>
          </rPr>
          <t>Администратор: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снят с учета по 1с 12.07.16.</t>
        </r>
      </text>
    </comment>
    <comment ref="C19" authorId="0">
      <text>
        <r>
          <rPr>
            <b/>
            <sz val="9"/>
            <rFont val="Tahoma"/>
            <family val="2"/>
            <charset val="204"/>
          </rPr>
          <t>Администратор: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 1с снят с учета 11.01.16.</t>
        </r>
      </text>
    </comment>
    <comment ref="C20" authorId="0">
      <text>
        <r>
          <rPr>
            <b/>
            <sz val="9"/>
            <rFont val="Tahoma"/>
            <family val="2"/>
            <charset val="204"/>
          </rPr>
          <t>Администратор: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снят с учета в 1с 26.03.15.</t>
        </r>
      </text>
    </comment>
    <comment ref="C24" authorId="0">
      <text>
        <r>
          <rPr>
            <b/>
            <sz val="9"/>
            <rFont val="Tahoma"/>
            <family val="2"/>
            <charset val="204"/>
          </rPr>
          <t>Администратор: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 1с снят с учета 01.07.14.</t>
        </r>
      </text>
    </comment>
    <comment ref="C25" authorId="0">
      <text>
        <r>
          <rPr>
            <b/>
            <sz val="9"/>
            <rFont val="Tahoma"/>
            <family val="2"/>
            <charset val="204"/>
          </rPr>
          <t>Администратор: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реал в 1с 14.06.13.</t>
        </r>
      </text>
    </comment>
    <comment ref="C26" authorId="0">
      <text>
        <r>
          <rPr>
            <b/>
            <sz val="9"/>
            <rFont val="Tahoma"/>
            <family val="2"/>
            <charset val="204"/>
          </rPr>
          <t>Администратор: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 1с снято с учета 12.07.16.</t>
        </r>
      </text>
    </comment>
    <comment ref="C27" authorId="0">
      <text>
        <r>
          <rPr>
            <b/>
            <sz val="9"/>
            <rFont val="Tahoma"/>
            <family val="2"/>
            <charset val="204"/>
          </rPr>
          <t>Администратор: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 1с снят с учета 21.04.15.</t>
        </r>
      </text>
    </comment>
  </commentList>
</comments>
</file>

<file path=xl/comments5.xml><?xml version="1.0" encoding="utf-8"?>
<comments xmlns="http://schemas.openxmlformats.org/spreadsheetml/2006/main">
  <authors>
    <author/>
  </authors>
  <commentList>
    <comment ref="BE4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не облагается взносами</t>
        </r>
      </text>
    </comment>
    <comment ref="BE26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план март</t>
        </r>
      </text>
    </comment>
    <comment ref="BF26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10,00 мат помощь при рождении не облагается взносами</t>
        </r>
      </text>
    </comment>
    <comment ref="AD27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выходят с отгулов за переработку в 2018 г., без ночных</t>
        </r>
      </text>
    </comment>
    <comment ref="AE27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выходят с отгулов за переработку в 2018 г., без ночных</t>
        </r>
      </text>
    </comment>
    <comment ref="AF27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с 01.04.18. начинается выморозка флота</t>
        </r>
      </text>
    </comment>
    <comment ref="BC27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Пузиков Е.Н. 10.11.1959</t>
        </r>
      </text>
    </comment>
    <comment ref="AD28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выходят с отгулов за переработку в 2018 г., без ночных</t>
        </r>
      </text>
    </comment>
    <comment ref="AE28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выходят с отгулов за переработку в 2018 г., без ночных</t>
        </r>
      </text>
    </comment>
    <comment ref="AD29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выходят с отгулов за переработку в 2018 г., без ночных</t>
        </r>
      </text>
    </comment>
    <comment ref="AE29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выходят с отгулов за переработку в 2018 г., без ночных</t>
        </r>
      </text>
    </comment>
    <comment ref="AD3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выходят с отгулов за переработку в 2018 г., без ночных</t>
        </r>
      </text>
    </comment>
    <comment ref="AE3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выходят с отгулов за переработку в 2018 г., без ночных</t>
        </r>
      </text>
    </comment>
    <comment ref="BC43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кузнецов Ю.В. 20.10.1959.</t>
        </r>
      </text>
    </comment>
  </commentList>
</comments>
</file>

<file path=xl/comments6.xml><?xml version="1.0" encoding="utf-8"?>
<comments xmlns="http://schemas.openxmlformats.org/spreadsheetml/2006/main">
  <authors>
    <author/>
  </authors>
  <commentList>
    <comment ref="AK7" authorId="0">
      <text>
        <r>
          <rPr>
            <b/>
            <sz val="9"/>
            <rFont val="Tahoma"/>
            <family val="2"/>
            <charset val="204"/>
          </rPr>
          <t>Автор: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не является нефтеналивной</t>
        </r>
      </text>
    </comment>
    <comment ref="AL9" authorId="0">
      <text>
        <r>
          <rPr>
            <b/>
            <sz val="9"/>
            <rFont val="Tahoma"/>
            <family val="2"/>
            <charset val="204"/>
          </rPr>
          <t>Автор: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буксировка только на гаке</t>
        </r>
      </text>
    </comment>
    <comment ref="B4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430 км*8 рейсов*2 туда-обратно</t>
        </r>
      </text>
    </comment>
    <comment ref="L4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8 рейсов*2 (по 2 дня на прр)</t>
        </r>
        <r>
          <rPr>
            <sz val="11"/>
            <color theme="1"/>
            <rFont val="Calibri"/>
            <family val="2"/>
            <charset val="204"/>
          </rPr>
          <t xml:space="preserve">
</t>
        </r>
      </text>
    </comment>
    <comment ref="M42" authorId="0">
      <text>
        <r>
          <rPr>
            <b/>
            <sz val="9"/>
            <rFont val="Tahoma"/>
            <family val="2"/>
            <charset val="204"/>
          </rPr>
          <t>User:</t>
        </r>
        <r>
          <rPr>
            <sz val="11"/>
            <color theme="1"/>
            <rFont val="Calibri"/>
            <family val="2"/>
            <charset val="204"/>
          </rPr>
          <t xml:space="preserve">
</t>
        </r>
        <r>
          <rPr>
            <sz val="9"/>
            <rFont val="Tahoma"/>
            <family val="2"/>
            <charset val="204"/>
          </rPr>
          <t>8 рейсов*2 (форс мажор на каждый рейс)</t>
        </r>
      </text>
    </comment>
  </commentList>
</comments>
</file>

<file path=xl/sharedStrings.xml><?xml version="1.0" encoding="utf-8"?>
<sst xmlns="http://schemas.openxmlformats.org/spreadsheetml/2006/main" count="3189" uniqueCount="1369">
  <si>
    <t>ПЛАН</t>
  </si>
  <si>
    <t>финансово-хозяйственной деятельности</t>
  </si>
  <si>
    <t xml:space="preserve"> муниципального предприятия Таймырского Долгано-Ненецкого</t>
  </si>
  <si>
    <t>муниципального района «Таймыр»</t>
  </si>
  <si>
    <t>на 2019 г. и плановый период 2020-2021 гг.</t>
  </si>
  <si>
    <t>Сведения о муниципальном предприятии Таймырского Долгано – Ненецкого муниципального района (далее – муниципальное предприятие)</t>
  </si>
  <si>
    <t>Полное официальное наименование муниципального предприятия</t>
  </si>
  <si>
    <t>Муниципальное предприятие Таймырского Долгано-Ненецкого муниципального района «Таймыр»</t>
  </si>
  <si>
    <t xml:space="preserve">Юридический адрес (местонахождение)  </t>
  </si>
  <si>
    <t>647000,Красноярский край, Таймырский Долгано-Ненецкий муниципальный район, г. Дудинка, ул. Ленина, 29, офис 1</t>
  </si>
  <si>
    <t xml:space="preserve">Почтовый адрес   </t>
  </si>
  <si>
    <t>647000, Красноярский край, Таймырский Долгано-Ненецкий муниципальный район, г. Дудинка, улица Ленина, 29, офис 1.</t>
  </si>
  <si>
    <t xml:space="preserve">Основной вид деятельности (ОКВЭД)  </t>
  </si>
  <si>
    <t>Деятельность внутреннего водного грузового транспорта</t>
  </si>
  <si>
    <t xml:space="preserve">Балансовая стоимость недвижимого имущества, переданного в хозяйственное ведение (оперативное управление) муниципального предприятия </t>
  </si>
  <si>
    <t>170 366 385 рублей</t>
  </si>
  <si>
    <t xml:space="preserve">Телефон (факс) </t>
  </si>
  <si>
    <t>(39191) 5-17-17, 5-05-00, 5-05-50</t>
  </si>
  <si>
    <t xml:space="preserve">Адрес электронной почты </t>
  </si>
  <si>
    <t xml:space="preserve"> region842009@yandex.ru</t>
  </si>
  <si>
    <t>Сведения о руководителе муниципального предприятия</t>
  </si>
  <si>
    <t xml:space="preserve">Фамилия, имя, отчество руководителя </t>
  </si>
  <si>
    <t>Красовская Анна Яковлевна</t>
  </si>
  <si>
    <t xml:space="preserve">Сведения о трудовом договоре, заключенном с руководителем муниципального предприятия:  </t>
  </si>
  <si>
    <t xml:space="preserve">дата трудового договора  </t>
  </si>
  <si>
    <t>27.12.2018 г.</t>
  </si>
  <si>
    <t xml:space="preserve">номер трудового договора  </t>
  </si>
  <si>
    <t>15/18</t>
  </si>
  <si>
    <t xml:space="preserve">Срок действия трудового договора, заключенного с  руководителем муниципального предприятия:       </t>
  </si>
  <si>
    <t>Начало</t>
  </si>
  <si>
    <t>Окончание</t>
  </si>
  <si>
    <t>26.12.2023 г.</t>
  </si>
  <si>
    <t xml:space="preserve">Телефон (факс)  </t>
  </si>
  <si>
    <t>(39191) 5-17-17</t>
  </si>
  <si>
    <t>Раздел 1. Бюджет муниципального предприятия</t>
  </si>
  <si>
    <t>(тыс. рублей)</t>
  </si>
  <si>
    <t>N п/п</t>
  </si>
  <si>
    <t>Наименование показателей</t>
  </si>
  <si>
    <t>2019 год</t>
  </si>
  <si>
    <t>Плановый период</t>
  </si>
  <si>
    <t>I квартал</t>
  </si>
  <si>
    <t>II квартал</t>
  </si>
  <si>
    <t>III квартал</t>
  </si>
  <si>
    <t>IV квартал</t>
  </si>
  <si>
    <t>год</t>
  </si>
  <si>
    <t>2020 год</t>
  </si>
  <si>
    <t>2021 год</t>
  </si>
  <si>
    <t>Остаток средств на счетах на начало периода</t>
  </si>
  <si>
    <t>Остаток прочих денежных средств</t>
  </si>
  <si>
    <t>Доходы</t>
  </si>
  <si>
    <t>Поступления от реализации основной продукции, работ, услуг, в том числе:</t>
  </si>
  <si>
    <t>1.1.</t>
  </si>
  <si>
    <t>1.1.1.</t>
  </si>
  <si>
    <t>Сухогрузы (уголь)</t>
  </si>
  <si>
    <t>1.1.2.</t>
  </si>
  <si>
    <t>Наливные грузы (нефтепродукты)</t>
  </si>
  <si>
    <t>1.1.3.</t>
  </si>
  <si>
    <t>Сухогрузы (прочие грузы)</t>
  </si>
  <si>
    <t>1.2.</t>
  </si>
  <si>
    <t>Деятельность гостиниц и прочих мест для временного проживания</t>
  </si>
  <si>
    <t>Поступления от реализации прочих товаров, работ, услуг, в том числе:</t>
  </si>
  <si>
    <t>Поступления от реализации ТМЦ и ОФ, в том числе:</t>
  </si>
  <si>
    <t>3.1.</t>
  </si>
  <si>
    <t>Реализация ОС</t>
  </si>
  <si>
    <t>3.2.</t>
  </si>
  <si>
    <t xml:space="preserve">Реализация ТМЦ </t>
  </si>
  <si>
    <t>Поступления от аренды зданий, помещений, оборудования, компенсация арендных платежей и т.п.</t>
  </si>
  <si>
    <t>Поступления из бюджетов всех уровней всего, в том числе:</t>
  </si>
  <si>
    <t>Возврат налогов, страховых взносов, в том числе:</t>
  </si>
  <si>
    <t>6.1.</t>
  </si>
  <si>
    <t>Возврат налога на прибыль</t>
  </si>
  <si>
    <t>Поступления от акционеров, собственников муниципального предприятия, в том числе:</t>
  </si>
  <si>
    <t>Поступления от финансовых вложений (проценты, дивиденды и др.)</t>
  </si>
  <si>
    <t>Поступления от участия в других организациях</t>
  </si>
  <si>
    <t>Поступления взятых кредитов</t>
  </si>
  <si>
    <t>Прочие поступления, в том числе:</t>
  </si>
  <si>
    <t>11.1.</t>
  </si>
  <si>
    <t xml:space="preserve">Обеспечение заявки контракта </t>
  </si>
  <si>
    <t>11.2.</t>
  </si>
  <si>
    <t>Возврат средств</t>
  </si>
  <si>
    <t>11.3.</t>
  </si>
  <si>
    <t>Прочие поступления</t>
  </si>
  <si>
    <t>11.4.</t>
  </si>
  <si>
    <t>Возврат средств за приобретенные по безналичному расчету авиабилеты</t>
  </si>
  <si>
    <t>Итого поступлений:</t>
  </si>
  <si>
    <t>Расходы</t>
  </si>
  <si>
    <t>Заработная плата, в том числе:</t>
  </si>
  <si>
    <t>Оплата труда работников предприятия (без налога на доходы физических лиц)</t>
  </si>
  <si>
    <t xml:space="preserve">Оплата труда по договорам </t>
  </si>
  <si>
    <t>1.3.</t>
  </si>
  <si>
    <t>Оплата больничных листов</t>
  </si>
  <si>
    <t>1.4.</t>
  </si>
  <si>
    <t>Налог на доходы физических лиц</t>
  </si>
  <si>
    <t>1.5.</t>
  </si>
  <si>
    <t>Погашение задолженности</t>
  </si>
  <si>
    <t>1.6.</t>
  </si>
  <si>
    <t>Расчеты по исполнительным листам и по прочим операциям</t>
  </si>
  <si>
    <t>1.7.</t>
  </si>
  <si>
    <t>Пособие до 1,6 лет (за счет ФСС)</t>
  </si>
  <si>
    <t>Налоги и платежи, связанные с заработной платой, в том числе:</t>
  </si>
  <si>
    <t>2.1.</t>
  </si>
  <si>
    <t>Расчеты текущие</t>
  </si>
  <si>
    <t>2.2.</t>
  </si>
  <si>
    <t>2.3.</t>
  </si>
  <si>
    <t>Штрафные санкции</t>
  </si>
  <si>
    <t>Приобретение, в том числе:</t>
  </si>
  <si>
    <t>Сырье, материалы, в том числе:</t>
  </si>
  <si>
    <t>3.1.1.</t>
  </si>
  <si>
    <t>Уголь для поставки</t>
  </si>
  <si>
    <t>3.1.2.</t>
  </si>
  <si>
    <t>ГСМ для поставки</t>
  </si>
  <si>
    <t>3.1.3.</t>
  </si>
  <si>
    <t>Прочие материалы для поставки</t>
  </si>
  <si>
    <t>Материалы, в том числе:</t>
  </si>
  <si>
    <t>3.2.1.</t>
  </si>
  <si>
    <t>Топливо (бензин, дизельное топливо)</t>
  </si>
  <si>
    <t>3.2.2.</t>
  </si>
  <si>
    <t>Тара и тарные материалы</t>
  </si>
  <si>
    <t>3.2.3.</t>
  </si>
  <si>
    <t>Питание экипажей судов</t>
  </si>
  <si>
    <t>3.2.4.</t>
  </si>
  <si>
    <t>Прочие материалы (масла, смазки, жидкости, запасные части и приспособления,строительные материалы, канцелярские товары, инвентарь и хозяйственные принадлежности, средства пожаротушения, материалы по охране труда,  ТМЦ  сроком службы свыше 1 года и стоимостью не более 40 000 руб. и пр. )</t>
  </si>
  <si>
    <t>3.3.</t>
  </si>
  <si>
    <t>МБП</t>
  </si>
  <si>
    <t>3.4.</t>
  </si>
  <si>
    <t>Основные средства</t>
  </si>
  <si>
    <t>Услуги сторонних организаций, в том числе:</t>
  </si>
  <si>
    <t>4.1.</t>
  </si>
  <si>
    <t>Текущие ремонты</t>
  </si>
  <si>
    <t>4.2.</t>
  </si>
  <si>
    <t>Капитальные ремонты</t>
  </si>
  <si>
    <t>4.3.</t>
  </si>
  <si>
    <t>Транспортные услуги, в том числе:</t>
  </si>
  <si>
    <t>4.3.1.</t>
  </si>
  <si>
    <t>Транспортные услуги, ПРР и хранение (для текущей деятельности предприятия)</t>
  </si>
  <si>
    <t>4.3.2.</t>
  </si>
  <si>
    <t>Транспортные услуги, ПРР и хранение (для поставки), в том числе:</t>
  </si>
  <si>
    <t>4.3.2.1.</t>
  </si>
  <si>
    <t>Транспортные услуги по углю (для поставки)</t>
  </si>
  <si>
    <t>4.3.2.2.</t>
  </si>
  <si>
    <t>Транспортные услуги по ГСМ  (для поставки)</t>
  </si>
  <si>
    <t>4.3.2.3.</t>
  </si>
  <si>
    <t>Транспортные услуги по прочим материалам (для поставки)</t>
  </si>
  <si>
    <t>4.3.2.4.</t>
  </si>
  <si>
    <t>ПРР, хранение, затарка и прочее по углю (для поставки)</t>
  </si>
  <si>
    <t>4.3.2.5.</t>
  </si>
  <si>
    <t>ПРР, хранение по ГСМ (для поставки)</t>
  </si>
  <si>
    <t>4.3.2.6.</t>
  </si>
  <si>
    <t>ПРР, хранение по прочим материалам (для поставки)</t>
  </si>
  <si>
    <t>4.4.</t>
  </si>
  <si>
    <t>Прочие услуги, в том числе:</t>
  </si>
  <si>
    <t>4.4.1.</t>
  </si>
  <si>
    <t>Техническое обслуживание, экспертиза, поверка, диагностика (оборудования, автотранспорта,спецтехники, флота, зданий, сооружений)</t>
  </si>
  <si>
    <t>Коммунальные услуги (отопление, электроэнергия, водоснабжение, водоотведение), в том числе:</t>
  </si>
  <si>
    <t>5.1.</t>
  </si>
  <si>
    <t>5.2.</t>
  </si>
  <si>
    <t>5.3.</t>
  </si>
  <si>
    <t>Налоги и платежи, не зависящие от заработной платы, в том числе:</t>
  </si>
  <si>
    <t>Расчеты текущие, в том числе:</t>
  </si>
  <si>
    <t>6.1.1.</t>
  </si>
  <si>
    <t>Плата за загрязнение окружающей среды</t>
  </si>
  <si>
    <t>6.1.2.</t>
  </si>
  <si>
    <t>Транспортный налог</t>
  </si>
  <si>
    <t>6.1.3.</t>
  </si>
  <si>
    <t>Налог на имущество</t>
  </si>
  <si>
    <t>6.1.4.</t>
  </si>
  <si>
    <t>Налог на прибыль</t>
  </si>
  <si>
    <t>6.1.5.</t>
  </si>
  <si>
    <t>НДС</t>
  </si>
  <si>
    <t>6.1.6.</t>
  </si>
  <si>
    <t>Часть прибыли, подлежащая перечислению в муниципальный бюджет</t>
  </si>
  <si>
    <t>6.1.7.</t>
  </si>
  <si>
    <t xml:space="preserve">Регистрационные сборы, государственные пошлины и иные аналогичные платежи </t>
  </si>
  <si>
    <t>6.2.</t>
  </si>
  <si>
    <t>Погашение задолженности, в том числе:</t>
  </si>
  <si>
    <t>6.3.</t>
  </si>
  <si>
    <t>Штрафные санкции, в том числе:</t>
  </si>
  <si>
    <t>6.3.1.</t>
  </si>
  <si>
    <t xml:space="preserve">штрафы, пени </t>
  </si>
  <si>
    <t>Выплаты по погашению привлекаемых кредитных ресурсов</t>
  </si>
  <si>
    <t>Выплаты процентов по привлекаемым кредитным ресурсам</t>
  </si>
  <si>
    <t>Прочие выплаты всего, в том числе:</t>
  </si>
  <si>
    <t>9.1.</t>
  </si>
  <si>
    <t>Информационные, консультационные, оценочные, аудиторские, нотариальные и прочие услуги</t>
  </si>
  <si>
    <t>9.2.</t>
  </si>
  <si>
    <t>Расходы по охране труда</t>
  </si>
  <si>
    <t>9.3.</t>
  </si>
  <si>
    <t xml:space="preserve">Работы направленные на ликвидацию ЧС </t>
  </si>
  <si>
    <t>9.4.</t>
  </si>
  <si>
    <t>Расходы на внедрение и обслуживание систем автоматизации</t>
  </si>
  <si>
    <t>9.5.</t>
  </si>
  <si>
    <t>Услуги связи</t>
  </si>
  <si>
    <t>9.6.</t>
  </si>
  <si>
    <t>Аренда</t>
  </si>
  <si>
    <t>9.7.</t>
  </si>
  <si>
    <t>Услуги жилищно-коммунального хозяйства, в том числе:</t>
  </si>
  <si>
    <t>9.7.1.</t>
  </si>
  <si>
    <t>Вывоз мусора, снега, уборка территории санитарная обработка, дератизация, дезинфекция, утилизация отходов и прочее</t>
  </si>
  <si>
    <t>9.7.2.</t>
  </si>
  <si>
    <t>Комплексное обслуживание помещений</t>
  </si>
  <si>
    <t>9.7.3.</t>
  </si>
  <si>
    <t>Взнос на капитальный ремонт</t>
  </si>
  <si>
    <t>9.7.4.</t>
  </si>
  <si>
    <t>Прочие ЖКУ</t>
  </si>
  <si>
    <t>9.8.</t>
  </si>
  <si>
    <t>Подписка на периодические издания</t>
  </si>
  <si>
    <t>9.9.</t>
  </si>
  <si>
    <t>Услуги по страхованию</t>
  </si>
  <si>
    <t>9.10.</t>
  </si>
  <si>
    <t>Командировочные расходы</t>
  </si>
  <si>
    <t>9.11.</t>
  </si>
  <si>
    <t>Расходы на персонал</t>
  </si>
  <si>
    <t>9.12.</t>
  </si>
  <si>
    <t>Компенсация расходов на оплату стоимости проезда и провоза багажа к месту использования отпуска и обратно</t>
  </si>
  <si>
    <t>9.13.</t>
  </si>
  <si>
    <t xml:space="preserve">Банковская гарантия </t>
  </si>
  <si>
    <t>9.14.</t>
  </si>
  <si>
    <t>9.15.</t>
  </si>
  <si>
    <t>Приобретение а/билетов по договору с авиакомпанией по льготной цене</t>
  </si>
  <si>
    <t>9.16.</t>
  </si>
  <si>
    <t>Прочие расходы</t>
  </si>
  <si>
    <t>Инвестиционные расходы</t>
  </si>
  <si>
    <t>Итого выплат:</t>
  </si>
  <si>
    <t>Остаток средств на счетах на конец периода</t>
  </si>
  <si>
    <t>Раздел 2. План реализации продукции и расчет прибыли</t>
  </si>
  <si>
    <t>муниципального предприятия</t>
  </si>
  <si>
    <t>Ед. изм.</t>
  </si>
  <si>
    <t>Объем реализации продукции, товаров, работ, услуг (в натуральном выражении), в том числе:</t>
  </si>
  <si>
    <t>Деятельность внутреннего водного грузового транспорта, в том числе:</t>
  </si>
  <si>
    <t>тн.</t>
  </si>
  <si>
    <t>сухогрузы (уголь)</t>
  </si>
  <si>
    <t>наливные грузы (нефтепродукты)</t>
  </si>
  <si>
    <t>сухогрузы (прочие грузы)</t>
  </si>
  <si>
    <t>Аренда и управление имуществом (в том числе: возмещение затрат по оплате коммунальных услуг, хранение)</t>
  </si>
  <si>
    <t>кв.м.</t>
  </si>
  <si>
    <t>Деятельность гостиниц и прочих мест для временного проживания, в том числе:</t>
  </si>
  <si>
    <t>1.3.1.</t>
  </si>
  <si>
    <t>проживание в гостинице</t>
  </si>
  <si>
    <t>ед.</t>
  </si>
  <si>
    <t>1.3.2.</t>
  </si>
  <si>
    <t>посещение сауны</t>
  </si>
  <si>
    <t>час</t>
  </si>
  <si>
    <t>Выручка от реализации продукции, товаров, работ, услуг, в том числе:</t>
  </si>
  <si>
    <t>тыс.руб.</t>
  </si>
  <si>
    <t>2.1.1.</t>
  </si>
  <si>
    <t>сводный индекс потребительских цен: 2020/2019-103,9; 2021/2020-103,9</t>
  </si>
  <si>
    <t>2.1.2.</t>
  </si>
  <si>
    <t>2.1.3.</t>
  </si>
  <si>
    <t>аренда</t>
  </si>
  <si>
    <t>ку</t>
  </si>
  <si>
    <t>итого</t>
  </si>
  <si>
    <t>Аренда и управление имуществом (в том числе возмещение затрат по оплате коммунальных услуг)</t>
  </si>
  <si>
    <t>индекс потребительских цен (услуги жилищно-коммунальные): 2020/2019 - 105,2; 2021/2020 - 105,2</t>
  </si>
  <si>
    <t>2.3.1.</t>
  </si>
  <si>
    <t>2.3.2.</t>
  </si>
  <si>
    <t>Себестоимость проданных продукции, товаров, работ, услуг, в том числе:</t>
  </si>
  <si>
    <t xml:space="preserve">Аренда и управление имуществом </t>
  </si>
  <si>
    <t>Валовая прибыль/ убыток</t>
  </si>
  <si>
    <t>Коммерческие расходы</t>
  </si>
  <si>
    <t>Прибыль/убыток от продаж</t>
  </si>
  <si>
    <t>Внереализационные доходы</t>
  </si>
  <si>
    <t>СОЮЗ ДОЛГАН ТМР МОО 271/12-2018 от 10.12.2018 конечный срок – «01» сентября 2019 г : произвести его строительство, сборку, установку, изготовление.2. Поставщик выполняет работы, оказывает услуги по адресу: 647000, Красноярский край, Таймырский Долгано-Ненецкий муниципальный район, г. Дудинка, район бывшей базы зверофермы Строительство загона для животных, Изготовление и установка арт-объекта «Арктический олень»,Приобретение малоэтажных быстровозводимых домов (с учетом доставки, монтажа и ввода в эксплуатациюДля выполнения работ и оказания услуг Поставщик обязуется предоставить следующие материалы:Пиломатериал</t>
  </si>
  <si>
    <t>Внереализационные расходы</t>
  </si>
  <si>
    <t>услуги банка</t>
  </si>
  <si>
    <t xml:space="preserve">НДС с новогодних подарков </t>
  </si>
  <si>
    <t>гос пошлина за гос регистрацию права собственности судоходного буксира-толкача "Ангара-79"</t>
  </si>
  <si>
    <t>строительство беседки,сцены,загона для животных на территории Кр.кр,ТДНМР г. Дудинка, район зверофермы</t>
  </si>
  <si>
    <t xml:space="preserve">Прибыль/убыток до налогообложения </t>
  </si>
  <si>
    <t>Налог на прибыль и иные аналогичные обязательные платежи</t>
  </si>
  <si>
    <t>Чистая прибыль</t>
  </si>
  <si>
    <t>Прибыль, остающаяся в распоряжении предприятия</t>
  </si>
  <si>
    <t>Раздел 3. Себестоимость продукции</t>
  </si>
  <si>
    <t>для расчета с/с на 1 руб</t>
  </si>
  <si>
    <t>НДС 2019</t>
  </si>
  <si>
    <t>Затраты на сырье, материалы, в том числе:</t>
  </si>
  <si>
    <r>
      <rPr>
        <sz val="10"/>
        <rFont val="Arial"/>
        <family val="2"/>
        <charset val="204"/>
      </rPr>
      <t xml:space="preserve">Уголь для поставки </t>
    </r>
    <r>
      <rPr>
        <b/>
        <sz val="10"/>
        <rFont val="Arial"/>
        <family val="2"/>
        <charset val="204"/>
      </rPr>
      <t>Деятельность внутреннего водного грузового транспорта</t>
    </r>
    <r>
      <rPr>
        <sz val="10"/>
        <rFont val="Arial"/>
        <family val="2"/>
        <charset val="204"/>
      </rPr>
      <t xml:space="preserve"> (УМЗ У-А 1447 тн + КГБУЗ У-А 96 тн + УМЗ Кресты 20 тн = </t>
    </r>
    <r>
      <rPr>
        <sz val="10"/>
        <color rgb="FFFF0000"/>
        <rFont val="Arial"/>
        <family val="2"/>
        <charset val="204"/>
      </rPr>
      <t>1563 тн</t>
    </r>
    <r>
      <rPr>
        <sz val="10"/>
        <rFont val="Arial"/>
        <family val="2"/>
        <charset val="204"/>
      </rPr>
      <t>) * факт 2018 г = уголь 467 + перевозка 266,54 = 733,54 руб. план 2019 рост угля на 14% = 533 + 266,54 перевозка на уровне 2018 г =</t>
    </r>
    <r>
      <rPr>
        <sz val="10"/>
        <color rgb="FFFF0000"/>
        <rFont val="Arial"/>
        <family val="2"/>
        <charset val="204"/>
      </rPr>
      <t xml:space="preserve"> *799,54</t>
    </r>
  </si>
  <si>
    <t>расчет 2020-2021 гг. Прогноз показателей инфляции в крае до 2021 года Дефляторы по видам экономической деятельности (Наименование отрасли: Добыча угля (05) 2020/2019 - 102,3; 2021/2020-102,3)</t>
  </si>
  <si>
    <r>
      <rPr>
        <sz val="10"/>
        <rFont val="Arial"/>
        <family val="2"/>
        <charset val="204"/>
      </rPr>
      <t xml:space="preserve">ГСМ для поставки </t>
    </r>
    <r>
      <rPr>
        <b/>
        <sz val="10"/>
        <rFont val="Arial"/>
        <family val="2"/>
        <charset val="204"/>
      </rPr>
      <t xml:space="preserve"> Деятельность внутреннего водного грузового транспорта</t>
    </r>
    <r>
      <rPr>
        <sz val="10"/>
        <rFont val="Arial"/>
        <family val="2"/>
        <charset val="204"/>
      </rPr>
      <t xml:space="preserve"> (ТТС У-А </t>
    </r>
    <r>
      <rPr>
        <sz val="10"/>
        <color rgb="FFFF0000"/>
        <rFont val="Arial"/>
        <family val="2"/>
        <charset val="204"/>
      </rPr>
      <t>500 т</t>
    </r>
    <r>
      <rPr>
        <sz val="10"/>
        <rFont val="Arial"/>
        <family val="2"/>
        <charset val="204"/>
      </rPr>
      <t xml:space="preserve">н увеличение за счет ввода в экспл школы-интерната) ТТК ПЭО Татьяна Викторовна (3912)52-71-94 с нефтебазы ст-ть </t>
    </r>
    <r>
      <rPr>
        <sz val="10"/>
        <color rgb="FFFF0000"/>
        <rFont val="Arial"/>
        <family val="2"/>
        <charset val="204"/>
      </rPr>
      <t>54952,10</t>
    </r>
    <r>
      <rPr>
        <sz val="10"/>
        <rFont val="Arial"/>
        <family val="2"/>
        <charset val="204"/>
      </rPr>
      <t xml:space="preserve"> </t>
    </r>
  </si>
  <si>
    <t>индекс потребительских цен (непродовольственные товары): 2020/2019 - 104,1; 2021/2020 - 104,1</t>
  </si>
  <si>
    <t>Вспомогательные материалы, комплектующие, инструменты, приспособления, в том числе:</t>
  </si>
  <si>
    <t>Масла, смазки, жидкости</t>
  </si>
  <si>
    <t>Деятельность внутреннего водного грузового транспорта (Моторное масло М-10Г2к ЯМЗ-240 (300 кг), Моторное масло SAE30 DMT-150H (150 кг)</t>
  </si>
  <si>
    <t>Вспомогательное производство (общепроизводственные расходы) 23 сч (Телескопический погрузчик, трактор Т10ДМ, трелевочник, УАЗ Патриот) (Консистентная смазка - 20 шт, смазка стрелы - 3 канистры 5л, масло - 100л,масло гидравлическое - 2 бочки 200 л, масло трансмиссионное - 1 бочка 200 л, жидкость тормозная - 10л, масло-15л,тосол-1 бочка 200л,смазка(литол)-30 кг, масло лукоил,антифриз</t>
  </si>
  <si>
    <t>Дудинский участок 26 счет ( Митсубиши Паджеро Спорт)</t>
  </si>
  <si>
    <r>
      <rPr>
        <sz val="10"/>
        <rFont val="Arial"/>
        <family val="2"/>
        <charset val="204"/>
      </rPr>
      <t xml:space="preserve">Тара и тарные материалы </t>
    </r>
    <r>
      <rPr>
        <b/>
        <sz val="10"/>
        <rFont val="Arial"/>
        <family val="2"/>
        <charset val="204"/>
      </rPr>
      <t>Деятельность внутреннего водного грузового транспорта</t>
    </r>
    <r>
      <rPr>
        <sz val="10"/>
        <rFont val="Arial"/>
        <family val="2"/>
        <charset val="204"/>
      </rPr>
      <t xml:space="preserve"> (1600 шт с учетом аварийного запаса Контейнер МКР 1,3Л4-1,0ППР1 (90х90х135 см длина стропы 90 см)*326,27 руб факт 2018*1,039 индекс</t>
    </r>
  </si>
  <si>
    <t>индекс потребительских цен (непродовольственные товары):2019/2018 - 104,1; 2020/2019 - 104,1; 2021/2020 - 104,1</t>
  </si>
  <si>
    <t>Запасные части и приспособления</t>
  </si>
  <si>
    <t>Деятельность внутреннего водного грузового транспорта (Элемент фильтрующий топливный грубой очистки 201-1105538 ЯМЗ-240, втулки...)</t>
  </si>
  <si>
    <t>Вспомогательное производство (общепроизводственные расходы) 23 сч (Телескопический погрузчик, трактор Т10ДМ, трелевочник) (фильтры,быстроразъемные соединения,пркладки,хомуты,предохранители,паронит,электроды…) + пластиковые окна на АБК - 28 шт. 295,30508</t>
  </si>
  <si>
    <t>проживание (освещение)</t>
  </si>
  <si>
    <t>сауна (освещение)</t>
  </si>
  <si>
    <t>2.4.</t>
  </si>
  <si>
    <t>Строительные материалы</t>
  </si>
  <si>
    <t>Деятельность внутреннего водного грузового транспорта (краска, растворитель…)</t>
  </si>
  <si>
    <t>2.5.</t>
  </si>
  <si>
    <t>Канцелярские товары</t>
  </si>
  <si>
    <t>проживание</t>
  </si>
  <si>
    <t>сауна</t>
  </si>
  <si>
    <t>Дудинский участок 26 счет</t>
  </si>
  <si>
    <t xml:space="preserve">Вспомогательное производство (общепроизводственные расходы) 23 сч </t>
  </si>
  <si>
    <t>2.6.</t>
  </si>
  <si>
    <t>Инвентарь и хозяйственные принадлежности</t>
  </si>
  <si>
    <t>Деятельность внутреннего водного грузового транспорта (кисти, перчатки…)</t>
  </si>
  <si>
    <t>проживание (уборка, комплектация номеров, стирка белья)</t>
  </si>
  <si>
    <t>сауна (уборка,комплектация сауна)</t>
  </si>
  <si>
    <t>2.7.</t>
  </si>
  <si>
    <t>Средства пожаротушения</t>
  </si>
  <si>
    <t>Деятельность внутреннего водного грузового транспорта (огнетушители углекислотные ОУ - 7 шт, Огнетушители порошковые - 4 шт.)</t>
  </si>
  <si>
    <t>2.8.</t>
  </si>
  <si>
    <t>Материалы по охране труда</t>
  </si>
  <si>
    <t>Материалы по охране труда. На основании статьи 226 Трудового кодекса Российской Федерации финансирование мероприятий по улучшению условий и охраны труда работодателями осуществляется в размере не менее 0,2 процента суммы затрат на производство продукции (работ, услуг).</t>
  </si>
  <si>
    <t>Гидрокостюм мокрого типа - 10 шт</t>
  </si>
  <si>
    <t>2.9.</t>
  </si>
  <si>
    <t>ТМЦ  сроком службы свыше 1 года и стоимостью не более 40 000 руб.</t>
  </si>
  <si>
    <t>Деятельность внутреннего водного грузового транспорта (постельные принадлежности, наборы ключей, дрель, винты…)</t>
  </si>
  <si>
    <t>Вспомогательное производство (общепроизводственные расходы) 23 сч (Телескопический погрузчик, трактор Т10ДМ, трелевочник) (весы крановые ВЭК-5000, ключ динамометрический,насос водяной,турбокомпрессор,аккумуляторы,набор инструмента,мойка высокого давления)</t>
  </si>
  <si>
    <t>Деятельность гостиниц и прочих мест для временного проживания (проживание) ТВ 10 шт*15000</t>
  </si>
  <si>
    <t>2.10.</t>
  </si>
  <si>
    <r>
      <rPr>
        <sz val="10"/>
        <rFont val="Arial"/>
        <family val="2"/>
        <charset val="204"/>
      </rPr>
      <t xml:space="preserve">Питание экипажей судов  </t>
    </r>
    <r>
      <rPr>
        <b/>
        <sz val="10"/>
        <rFont val="Arial"/>
        <family val="2"/>
        <charset val="204"/>
      </rPr>
      <t xml:space="preserve">Деятельность внутреннего водного грузового транспорта </t>
    </r>
  </si>
  <si>
    <t>индекс потребительских цен (продовольственные товары):2019/2018 - 103,0; 2020/2019 - 103,0; 2021/2020 - 103,0</t>
  </si>
  <si>
    <t>2.11.</t>
  </si>
  <si>
    <t>Прочие материалы</t>
  </si>
  <si>
    <t>Затраты на топливо, энергию</t>
  </si>
  <si>
    <t>Бензин</t>
  </si>
  <si>
    <t>Бензин АИ-95 для заправки бензогенераторов: план работы 53 дня*24 часа=1272 часа; 1,1 норма расхода топлива; 1272*1,1=1399,20 итого расход бензина*55,49 план цена топлива=77641,61</t>
  </si>
  <si>
    <t>Аэроход "Марс" 2000 л в навигацию</t>
  </si>
  <si>
    <t xml:space="preserve"> </t>
  </si>
  <si>
    <t>Вспомогательное производство (общепроизводственные расходы) 23 сч (УАЗ "Патриот" Бензин АИ-95 - 15,05 литров в день*55,49 план цена топлива*кол-во рабочих  дней по производственному календарю)</t>
  </si>
  <si>
    <t>Дудинский участок 26 счет (Бензин АИ-95  Митсубиши Паджеро Спорт (Бак) 15,15 литров в день*55,49 план цена топлива*кол-во рабочих  дней по производственному календарю)</t>
  </si>
  <si>
    <t>Дизельное топливо</t>
  </si>
  <si>
    <t>Евро 2: план работы двигателей 80дней*24 часа=1920 часов; 26,7 норма расхода топлива на двигатель ЯМЗ-240,кг/час; (1920*26,7)/1000=51,264 расход топлива всего*55293,76 план цена евро 2= 2834579,31</t>
  </si>
  <si>
    <t>Телескопический погрузчик JCB 541-70 (24ХХ 4025) - 4000л в навигацию</t>
  </si>
  <si>
    <t>Машина трелевочная чекерная Т-147-00 (4084 ХХ24)-6000 л в навигацию</t>
  </si>
  <si>
    <t>Урал 48072-0000010-07 (А630УР24)-1500 л в навигацию</t>
  </si>
  <si>
    <t>Урал 48072-0000010-07 (А631УР24)-1500 л в навигацию</t>
  </si>
  <si>
    <t>Трактор Т10МБ (7618 КР24)-3000 л в навигацию</t>
  </si>
  <si>
    <t>Вспомогательное производство (общепроизводственные расходы) 23 сч</t>
  </si>
  <si>
    <t>Телескопический погрузчик JCB 541-70 (24ХХ 4025)</t>
  </si>
  <si>
    <t>Урал 56901-0000010 (М005СС24) автоцистерна АЦПТ-66</t>
  </si>
  <si>
    <t>Электрическая энергия</t>
  </si>
  <si>
    <t>Дудинский участок (Удобно-Деньги)</t>
  </si>
  <si>
    <t>Дудинский участок (Лесков,кафе)</t>
  </si>
  <si>
    <t>Норильский участок (Пясино,Промысловик,Север Минералс)</t>
  </si>
  <si>
    <t>НТЭК</t>
  </si>
  <si>
    <t>Заполярный Жилищный трест (ООО) (ул. 50 лет Октября, д.2, кв.,101,9 кв.м.)</t>
  </si>
  <si>
    <t>Тепловая энергия (в т.ч. компонент на тепловую энергию, Гкал)</t>
  </si>
  <si>
    <t>Норильский участок (Пясино,Промысловик,Север Минералс) отопление через ээ</t>
  </si>
  <si>
    <t>Вспомогательное производство (общепроизводственные расходы) 23 сч (отопление через ээ)</t>
  </si>
  <si>
    <t>Затраты на оплату труда</t>
  </si>
  <si>
    <t>Отчисления с заработной платы</t>
  </si>
  <si>
    <t>Амортизация</t>
  </si>
  <si>
    <t>Ремонт оборудования</t>
  </si>
  <si>
    <t>7.1.</t>
  </si>
  <si>
    <t>Текущий ремонт оборудования, автотранспорта и спецтехники, флота</t>
  </si>
  <si>
    <t>Деятельность внутреннего водного грузового транспорта (теплоход "Ленинград")</t>
  </si>
  <si>
    <t>7.2.</t>
  </si>
  <si>
    <t>Капитальный ремонт оборудования, автотранспорта и спецтехники, флота</t>
  </si>
  <si>
    <t>Ремонт зданий, сооружений, инвентаря</t>
  </si>
  <si>
    <t>8.1.</t>
  </si>
  <si>
    <t xml:space="preserve">Текущий ремонт </t>
  </si>
  <si>
    <t>Вспомогательное производство (общепроизводственные расходы) 23 сч (Здание АБК г.Норильск, согласно локально сметного расчета: окна - 277827 + Отопление 1 этаж все два крыла полностью с приборами - 214057 + Отопление 2 этаж полностью с приборами - 308035+отопление работы полностью подключение котла с электромонтажом  кроме труб и приборов по этажам - 145481 + Фасад без утепления главный №1 парадный - 326562 + Фасад без утепления главный №2 - 326562 + Фасад с утеплением №3 - 142292 + Фасад с утеплением №4 - 142292 + Фасад утепление главный №1 парадный - 165014 + Фасад утепление главный №2 - 165014 = 2 213,14 + ремонт ворот гаража - 300+1600 строительно-монтажные работытрансформатора</t>
  </si>
  <si>
    <t>Дудинский участок 26 счет (замена систем водоотведения в подпольном помещенити Ленина 29)</t>
  </si>
  <si>
    <t>Деятельность гостиниц и прочих мест для временного проживания (проживание) ремонт 2-го этажа</t>
  </si>
  <si>
    <t>8.2.</t>
  </si>
  <si>
    <t>Капитальный ремонт</t>
  </si>
  <si>
    <t>Налоги с выручки, относимые на текущие затраты, в том числе:</t>
  </si>
  <si>
    <t>Прочие налоги, относимые на текущие затраты, в том числе:</t>
  </si>
  <si>
    <t>10.1.</t>
  </si>
  <si>
    <t>Прочие налоги, относимые на текущие затраты, в том числе: 26 счет</t>
  </si>
  <si>
    <t>10.2.</t>
  </si>
  <si>
    <t>10.3.</t>
  </si>
  <si>
    <t>Прочие затраты, в том числе:</t>
  </si>
  <si>
    <r>
      <rPr>
        <i/>
        <sz val="10"/>
        <rFont val="Arial"/>
        <family val="2"/>
        <charset val="204"/>
      </rPr>
      <t xml:space="preserve">ФАУ Енисейский филиал "Российского Речного Регистра". Ежегодное освидетельствование теплоход "Ленинград" </t>
    </r>
    <r>
      <rPr>
        <i/>
        <sz val="10"/>
        <color rgb="FFFF0000"/>
        <rFont val="Arial"/>
        <family val="2"/>
        <charset val="204"/>
      </rPr>
      <t>Работают без НДС</t>
    </r>
  </si>
  <si>
    <t xml:space="preserve">ФАУ Енисейский филиал "Российского Речного Регистра". Ежегодное освидетельствование теплоход "Агапа" </t>
  </si>
  <si>
    <t xml:space="preserve">ФАУ Енисейский филиал "Российского Речного Регистра". Ежегодное освидетельствование теплоход "Никель" </t>
  </si>
  <si>
    <t xml:space="preserve">ФАУ Енисейский филиал "Российского Речного Регистра". Ежегодное освидетельствование теплоход "Авам" </t>
  </si>
  <si>
    <t xml:space="preserve">ФАУ Енисейский филиал "Российского Речного Регистра". Ежегодное освидетельствование теплоход "Тайга" </t>
  </si>
  <si>
    <t>ФАУ Енисейский филиал "Российского Речного Регистра". Ежегодное освидетельствование теплоход "Байкал"</t>
  </si>
  <si>
    <t xml:space="preserve">ФАУ Енисейский филиал "Российского Речного Регистра". Ежегодное освидетельствование теплоход "Егерь Николаев" </t>
  </si>
  <si>
    <t xml:space="preserve">ФАУ Енисейский филиал "Российского Речного Регистра". Ежегодное освидетельствование теплоход "Заполярье" </t>
  </si>
  <si>
    <t xml:space="preserve">ФАУ Енисейский филиал "Российского Речного Регистра". Ежегодное освидетельствование б/ж БНП-2 </t>
  </si>
  <si>
    <t xml:space="preserve">ФАУ Енисейский филиал "Российского Речного Регистра". Ежегодное освидетельствование б/ж "Лозьева" </t>
  </si>
  <si>
    <t xml:space="preserve">ФАУ Енисейский филиал "Российского Речного Регистра". Ежегодное освидетельствование б/ж "Бырранга" </t>
  </si>
  <si>
    <t xml:space="preserve">ФАУ Енисейский филиал "Российского Речного Регистра". Ежегодное освидетельствование б/ж "Новая" </t>
  </si>
  <si>
    <t>ФАУ Енисейский филиал "Российского Речного Регистра". Ежегодное освидетельствование б/ж "Волока"</t>
  </si>
  <si>
    <t xml:space="preserve">ФАУ Енисейский филиал "Российского Речного Регистра". Внеочередное освидетельствование теплоход "Ленинград" </t>
  </si>
  <si>
    <t xml:space="preserve">ФАУ Енисейский филиал "Российского Речного Регистра". Внеочередное  освидетельствование теплоход "Агапа" </t>
  </si>
  <si>
    <t xml:space="preserve">ФАУ Енисейский филиал "Российского Речного Регистра". Внеочередное освидетельствование теплоход "Никель" </t>
  </si>
  <si>
    <t xml:space="preserve">ФАУ Енисейский филиал "Российского Речного Регистра". Внеочередное освидетельствование теплоход "Авам" </t>
  </si>
  <si>
    <t xml:space="preserve">ФАУ Енисейский филиал "Российского Речного Регистра". Внеочередное освидетельствование теплоход "Тайга" </t>
  </si>
  <si>
    <t>ФАУ Енисейский филиал "Российского Речного Регистра". Внеочередное освидетельствование теплоход "Байкал"</t>
  </si>
  <si>
    <t xml:space="preserve">ФАУ Енисейский филиал "Российского Речного Регистра". Внеочередное освидетельствование теплоход "Егерь Николаев" </t>
  </si>
  <si>
    <t xml:space="preserve">ФАУ Енисейский филиал "Российского Речного Регистра". Внеочередное освидетельствование теплоход "Заполярье" </t>
  </si>
  <si>
    <t xml:space="preserve">ФАУ Енисейский филиал "Российского Речного Регистра". Внеочередное освидетельствование б/ж БНП-2 </t>
  </si>
  <si>
    <t xml:space="preserve">ФАУ Енисейский филиал "Российского Речного Регистра". Внеочередное освидетельствование б/ж "Лозьева" </t>
  </si>
  <si>
    <t xml:space="preserve">ФАУ Енисейский филиал "Российского Речного Регистра". Внеочередное  освидетельствование б/ж "Бырранга" </t>
  </si>
  <si>
    <t xml:space="preserve">ФАУ Енисейский филиал "Российского Речного Регистра". Внеочередное  освидетельствование б/ж "Новая" </t>
  </si>
  <si>
    <t>ФАУ Енисейский филиал "Российского Речного Регистра". Внеочередное  освидетельствование б/ж "Волока"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</si>
  <si>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теплоход "Ленинград" 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</si>
  <si>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теплоход "Никель" 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</si>
  <si>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теплоход "Авам" 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</si>
  <si>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теплоход "Тайга" </t>
  </si>
  <si>
    <t>ФАУ Енисейский филиал "Российского Речного Регистра". Техническое наблюдение за ремонтом судов (за выполнение правил при ремонте) теплоход "Байкал"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</si>
  <si>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теплоход "Егерь Николаев" 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</si>
  <si>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теплоход "Заполярье" 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</si>
  <si>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б/ж БНП-2 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</si>
  <si>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б/ж "Лозьева" 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</si>
  <si>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б/ж "Бырранга" </t>
  </si>
  <si>
    <t xml:space="preserve">ФАУ Енисейский филиал "Российского Речного Регистра". Техническое наблюдение за ремонтом судов (за выполнение правил при ремонте) б/ж "Новая" </t>
  </si>
  <si>
    <t>ФАУ Енисейский филиал "Российского Речного Регистра". Техническое наблюдение за ремонтом судов (за выполнение правил при ремонте) б/ж "Волока"</t>
  </si>
  <si>
    <r>
      <rPr>
        <i/>
        <sz val="10"/>
        <rFont val="Arial"/>
        <family val="2"/>
        <charset val="204"/>
      </rPr>
      <t xml:space="preserve">ИП Сундуков Б.Н., переосвидетельствование спасательных кругов (4 судна*5 шт *800) (на 4 члена экипажа-5шт) </t>
    </r>
    <r>
      <rPr>
        <i/>
        <sz val="10"/>
        <color rgb="FFFF0000"/>
        <rFont val="Arial"/>
        <family val="2"/>
        <charset val="204"/>
      </rPr>
      <t>Работают без НДС</t>
    </r>
  </si>
  <si>
    <t>ИП Сундуков Б.Н.,переосвидетельствование спасательных жилетов (4 судна*5 шт *880) (на 4 члена экипажа-5шт)</t>
  </si>
  <si>
    <t>ИП Сундуков Б.Н.,переосвидетельствование плотов ПСН-6 (8 шт*13880) (2 плота на 1 судно)</t>
  </si>
  <si>
    <t>ИП Сундуков Б.Н.,переосвидетельствование гидростатов (8 шт*666) (к плотам)</t>
  </si>
  <si>
    <t>Установка и настройка КВ радиостанцийI S-78 5 шт*15000=75000,на 2019 г. настроили в 2018, только в план 2020 и 2021 май</t>
  </si>
  <si>
    <t>Установка и настройка обогревательных котлов (кутурами) 4шт*50000 июнь</t>
  </si>
  <si>
    <r>
      <rPr>
        <i/>
        <sz val="9"/>
        <rFont val="Arial"/>
        <family val="2"/>
        <charset val="204"/>
      </rPr>
      <t>"УФК по Красноярскому краю (ОТДЕЛ ВНЕВЕДОМСТВЕННОЙ ОХРАНЫ ПО ТАЙМЫРСКОМУ ДОЛГАНО-НЕНЕЦКОМУ РАЙОНУ Услуги охраны ""Экстренный вызов"" по каналам сотовый связи GSM 5893,23 ежемесячно</t>
    </r>
    <r>
      <rPr>
        <i/>
        <sz val="9"/>
        <color rgb="FFFF0000"/>
        <rFont val="Arial"/>
        <family val="2"/>
        <charset val="204"/>
      </rPr>
      <t>Работают без НДС</t>
    </r>
  </si>
  <si>
    <r>
      <rPr>
        <i/>
        <sz val="9"/>
        <rFont val="Arial"/>
        <family val="2"/>
        <charset val="204"/>
      </rPr>
      <t xml:space="preserve">"Щит (ООО) 164/ТО от 01.03.2018 Услуги по обслуживанию средств СОУЭ по вх.д. 0240 от 31.03.2018" - 5208,00 + Обслуживание средств ОПС по вх.д. 0240 от 31.03.2018"- 8288,00 </t>
    </r>
    <r>
      <rPr>
        <i/>
        <sz val="9"/>
        <color rgb="FFFF0000"/>
        <rFont val="Arial"/>
        <family val="2"/>
        <charset val="204"/>
      </rPr>
      <t>Работают без НДС</t>
    </r>
  </si>
  <si>
    <r>
      <rPr>
        <i/>
        <sz val="9"/>
        <rFont val="Arial"/>
        <family val="2"/>
        <charset val="204"/>
      </rPr>
      <t xml:space="preserve">"Центр Технического Обслуживания ""Торгмонтаж"" (ООО) регистрация он-лайн кассы в ЛК ОФД; работы по вводу" - 2500 февраль </t>
    </r>
    <r>
      <rPr>
        <i/>
        <sz val="9"/>
        <color rgb="FFFF0000"/>
        <rFont val="Arial"/>
        <family val="2"/>
        <charset val="204"/>
      </rPr>
      <t>Работают без НДС</t>
    </r>
  </si>
  <si>
    <r>
      <rPr>
        <i/>
        <sz val="9"/>
        <rFont val="Arial"/>
        <family val="2"/>
        <charset val="204"/>
      </rPr>
      <t xml:space="preserve">"Оргтехника (ООО) Заправка и восстановление (замена чипа) картриджа Samsung ML-109S - 4950 + Заправка картриджа HP LJ CE 285А - 1900 </t>
    </r>
    <r>
      <rPr>
        <i/>
        <sz val="9"/>
        <color rgb="FFFF0000"/>
        <rFont val="Arial"/>
        <family val="2"/>
        <charset val="204"/>
      </rPr>
      <t>Работают без НДС</t>
    </r>
  </si>
  <si>
    <r>
      <rPr>
        <i/>
        <sz val="9"/>
        <rFont val="Arial"/>
        <family val="2"/>
        <charset val="204"/>
      </rPr>
      <t xml:space="preserve">Яшин Н.Н (ИП) Заправка лазерного картриджа - 750 руб </t>
    </r>
    <r>
      <rPr>
        <i/>
        <sz val="9"/>
        <color rgb="FFFF0000"/>
        <rFont val="Arial"/>
        <family val="2"/>
        <charset val="204"/>
      </rPr>
      <t>Работают без НДС</t>
    </r>
  </si>
  <si>
    <r>
      <rPr>
        <i/>
        <sz val="9"/>
        <rFont val="Arial"/>
        <family val="2"/>
        <charset val="204"/>
      </rPr>
      <t xml:space="preserve">ООО "Пожстроймонтаж" (договор № 06-12/16 от 28.12.16.) ТО систем ППА и СОУЭ смонтированной в здании производственного корпуса (3-х эт) (г.Норильск, Центральный район, район автодороги Норильск-Талнах)(факт 2018 год - 7627,12 в месяц) </t>
    </r>
    <r>
      <rPr>
        <i/>
        <sz val="9"/>
        <color rgb="FFFF0000"/>
        <rFont val="Arial"/>
        <family val="2"/>
        <charset val="204"/>
      </rPr>
      <t>Работают без НДС</t>
    </r>
  </si>
  <si>
    <t>Проведение испытаний электрооборудования технических устройст, Экспертиза промышленной безопасности Норильск, вальковское шоссе, 14км., территория МП "Таймыр" (кран МКГ-25.01 завод. №96, рег. №2843)проводили экспертизу в 3 кв 2018 г., срок 2 год, план 3 кв 2020 г. -50000 руб.</t>
  </si>
  <si>
    <r>
      <rPr>
        <i/>
        <sz val="9"/>
        <rFont val="Arial"/>
        <family val="2"/>
        <charset val="204"/>
      </rPr>
      <t xml:space="preserve">Оргтехника (ООО) Заправка и восстановление (замена чипа) картриджа + Регламент (техническое обслуживание) и ремонт МФУ </t>
    </r>
    <r>
      <rPr>
        <i/>
        <sz val="9"/>
        <color rgb="FFFF0000"/>
        <rFont val="Arial"/>
        <family val="2"/>
        <charset val="204"/>
      </rPr>
      <t xml:space="preserve">Работают без НДС </t>
    </r>
  </si>
  <si>
    <r>
      <rPr>
        <i/>
        <sz val="9"/>
        <rFont val="Arial"/>
        <family val="2"/>
        <charset val="204"/>
      </rPr>
      <t xml:space="preserve">"Рассвет (ООО) Договор №04/2016 от 15.10.2016 Мойка автомобиля </t>
    </r>
    <r>
      <rPr>
        <i/>
        <sz val="9"/>
        <color rgb="FFFF0000"/>
        <rFont val="Arial"/>
        <family val="2"/>
        <charset val="204"/>
      </rPr>
      <t xml:space="preserve">Работают без НДС </t>
    </r>
  </si>
  <si>
    <t>зимний отстой и хранение на подтесовской РЭБ АО "ЕРП" судоходного буксира-толкача "Ангара-79" (март-май) 100 ежемес</t>
  </si>
  <si>
    <t>тр-ка (перегон) Кр-к-Дудинка - и Дудинка-Валек судоходный буксир-толкач "Ангара-79"-700,00</t>
  </si>
  <si>
    <t>тр-ка лапы на трелевочник 2 шт</t>
  </si>
  <si>
    <t>11.3.1.</t>
  </si>
  <si>
    <t>расчет 2020-2021 гг. Прогноз показателей инфляции в крае до 2021 года Дефляторы по видам экономической деятельности (Наименование отрасли: Транспорт: 2020/2019 - 105,8; 2021/2020-105,5)</t>
  </si>
  <si>
    <r>
      <rPr>
        <sz val="10"/>
        <rFont val="Arial"/>
        <family val="2"/>
        <charset val="204"/>
      </rPr>
      <t>ИП Лебедев А.В. перевозка приобретенного 1563 тн угля с ж/д тупика до склада п.Валек (факт тариф 2018 г - 750 руб/тн) июнь</t>
    </r>
    <r>
      <rPr>
        <sz val="10"/>
        <color rgb="FFFF0000"/>
        <rFont val="Arial"/>
        <family val="2"/>
        <charset val="204"/>
      </rPr>
      <t xml:space="preserve"> Работают без НДС</t>
    </r>
  </si>
  <si>
    <t>Развоз угля (ГПД водители), контроль за развозом угля</t>
  </si>
  <si>
    <t>11.3.2.</t>
  </si>
  <si>
    <r>
      <rPr>
        <b/>
        <sz val="10"/>
        <rFont val="Arial"/>
        <family val="2"/>
        <charset val="204"/>
      </rPr>
      <t>Деятельность внутреннего водного грузового транспорта</t>
    </r>
    <r>
      <rPr>
        <sz val="10"/>
        <rFont val="Arial"/>
        <family val="2"/>
        <charset val="204"/>
      </rPr>
      <t xml:space="preserve"> Могоряну Юлия Аркадьевна Перевозка ДТ (бензовозами со склада АО "ТТК" - п. Валек) июль1750 руб.*500 тн </t>
    </r>
    <r>
      <rPr>
        <sz val="10"/>
        <color rgb="FFFF0000"/>
        <rFont val="Arial"/>
        <family val="2"/>
        <charset val="204"/>
      </rPr>
      <t>Работают без НДС</t>
    </r>
  </si>
  <si>
    <t>11.3.3.</t>
  </si>
  <si>
    <t>11.3.4.</t>
  </si>
  <si>
    <r>
      <rPr>
        <i/>
        <sz val="9"/>
        <rFont val="Arial"/>
        <family val="2"/>
        <charset val="204"/>
      </rPr>
      <t>Хлудеев В.В., ПРР в поселках (ручной труд: разгрузка барж, загрузка техники, разгрузка во дворах) 1237,50 руб/тн по факту 2018 г.</t>
    </r>
    <r>
      <rPr>
        <i/>
        <sz val="9"/>
        <color rgb="FFFF0000"/>
        <rFont val="Arial"/>
        <family val="2"/>
        <charset val="204"/>
      </rPr>
      <t>Работают без НДС</t>
    </r>
  </si>
  <si>
    <t>ПРР на Норильском участке: ручная затарка камменного угля в мешки, загрузка угля на баржи (работа пособных рабочих по срочным договорам, учтено в оплате труда)</t>
  </si>
  <si>
    <t>11.3.5.</t>
  </si>
  <si>
    <t>"Таймырская топливная компания (АО) Хранение имущества (500 тн. ДТ) тариф хранения в месяц 491,81руб</t>
  </si>
  <si>
    <t>Таймырская топливная компания (АО) Погрузочно-разгрузочные работы при выдаче нефтепродуктов топлива дизельного ЕВРО класса 4 (500 тн*546,96 руб)</t>
  </si>
  <si>
    <t>11.3.6.</t>
  </si>
  <si>
    <t>Информационные, консультационные, оценочные, аудиторские, нотариальные прочие услуги</t>
  </si>
  <si>
    <t>аудит 2017-2018 г.</t>
  </si>
  <si>
    <t>Редакция газеты О"Кей" размещение информации в газете</t>
  </si>
  <si>
    <t>11.5.</t>
  </si>
  <si>
    <t xml:space="preserve">Предрейсовые и послерейсовые осмотры, 112 руб. </t>
  </si>
  <si>
    <t>Медицинская комиссия при приеме на работу (апрель-1капитан,3помощника,4 матроса,12 подсобных,1 спец)</t>
  </si>
  <si>
    <t>Вспомогательное производство (общепроизводственные расходы) 23 сч + СОУТ 47 шт.ед.</t>
  </si>
  <si>
    <t>Медицинская комиссия при приеме на работу (январь - 1 сл-сант, апрель-5 операторов)</t>
  </si>
  <si>
    <t>11.6.</t>
  </si>
  <si>
    <r>
      <rPr>
        <b/>
        <sz val="10"/>
        <rFont val="Arial"/>
        <family val="2"/>
        <charset val="204"/>
      </rPr>
      <t xml:space="preserve">Деятельность внутреннего водного грузового транспорта </t>
    </r>
    <r>
      <rPr>
        <sz val="10"/>
        <rFont val="Arial"/>
        <family val="2"/>
        <charset val="204"/>
      </rPr>
      <t>(Зеленый город (АО) 293-С от 27.06.2018 (новый договор) Абонентская плата за поддержание в постоянной готовности сил и средств реагированию на чрезвычайные ситуации - 34885,39)</t>
    </r>
  </si>
  <si>
    <t>11.7.</t>
  </si>
  <si>
    <t>1С: Зарплата и Управление Персоналом 8 (версия ПРОФ)</t>
  </si>
  <si>
    <t>Клиентская лицензия на 1рабочее место 1С: Предприятие 8</t>
  </si>
  <si>
    <t>Модуль учета специальной одежды для программы "1С: Бухгалтерия предприятия 3.0"</t>
  </si>
  <si>
    <r>
      <rPr>
        <sz val="9"/>
        <rFont val="Arial"/>
        <family val="2"/>
        <charset val="204"/>
      </rPr>
      <t xml:space="preserve">РБП "Оптимальный" для ЭВМ "Контурн-Экстерн" (оплата в марте </t>
    </r>
    <r>
      <rPr>
        <sz val="9"/>
        <color rgb="FFFF0000"/>
        <rFont val="Arial"/>
        <family val="2"/>
        <charset val="204"/>
      </rPr>
      <t>10567,44</t>
    </r>
    <r>
      <rPr>
        <sz val="9"/>
        <rFont val="Arial"/>
        <family val="2"/>
        <charset val="204"/>
      </rPr>
      <t>)</t>
    </r>
  </si>
  <si>
    <r>
      <rPr>
        <sz val="10"/>
        <rFont val="Arial"/>
        <family val="2"/>
        <charset val="204"/>
      </rPr>
      <t xml:space="preserve">Консультант+ </t>
    </r>
    <r>
      <rPr>
        <sz val="10"/>
        <color rgb="FFFF0000"/>
        <rFont val="Arial"/>
        <family val="2"/>
        <charset val="204"/>
      </rPr>
      <t>(223,00 год,оплата ежемес 18,58333)</t>
    </r>
  </si>
  <si>
    <t>1С: Предприятие 8. Отель</t>
  </si>
  <si>
    <t>1С: Предприятие 8. Отель доп лицензия на 1 рабочее место</t>
  </si>
  <si>
    <t>1С: Предприятие 8.3. Сервер МИНИ на 5 подключений</t>
  </si>
  <si>
    <t>11.8.</t>
  </si>
  <si>
    <t>индекс потребительских цен (услуги связи):2020/2019 - 101,5; 2021/2020 - 101,5</t>
  </si>
  <si>
    <r>
      <rPr>
        <i/>
        <sz val="9"/>
        <rFont val="Arial"/>
        <family val="2"/>
        <charset val="204"/>
      </rPr>
      <t xml:space="preserve">ИП Алымов А.В. Услуги спутниковой связи (эл.ваучер IRIDIUM на 250 мин РФ (1 год), 1 ваучер= 28750 июнь-август, в зависимости от минут) </t>
    </r>
    <r>
      <rPr>
        <i/>
        <sz val="9"/>
        <color rgb="FFFF0000"/>
        <rFont val="Arial"/>
        <family val="2"/>
        <charset val="204"/>
      </rPr>
      <t>Работают без НДС</t>
    </r>
  </si>
  <si>
    <r>
      <rPr>
        <i/>
        <sz val="9"/>
        <rFont val="Arial"/>
        <family val="2"/>
        <charset val="204"/>
      </rPr>
      <t xml:space="preserve">Мастерра.ру (ООО) Договор №53771 от 23.12.2016 Доступ к сети интернетна ул Матросова 14 -10000 ежемесячно </t>
    </r>
    <r>
      <rPr>
        <i/>
        <sz val="9"/>
        <color rgb="FFFF0000"/>
        <rFont val="Arial"/>
        <family val="2"/>
        <charset val="204"/>
      </rPr>
      <t>Работают без НДС</t>
    </r>
  </si>
  <si>
    <t>Ростелеком (ПАО) договор 600005336042 от 02.02.2018 УУслуги телекоммуникационной связи 5-05-60, 5-05-45</t>
  </si>
  <si>
    <t>"МТС (ПАО) ЛС: RUB.6-022-8100008.ДудЮЛ Договор №(10/СКТВ) от 2018-04-01 Абонентская плата ТВ-приемник (32 шт*150 руб + 1 шт*750 руб + 9 шт * 350 руб цены с ндс) итого месяц 8700 с ндс, без ндс 7250</t>
  </si>
  <si>
    <t>"МТС (ПАО) Л/с 293390169428 Услуги сотовой связи 720,34 ежемесячно</t>
  </si>
  <si>
    <t>Т2 Мобайл (ООО) договор 55618895 от 20.02.2017 Услуги Интернет - 1271,19 ежемесячно</t>
  </si>
  <si>
    <t>МТС (ПАО) Услуги сотовой связи факт 1,2 кв 2018 г.</t>
  </si>
  <si>
    <t>Ростелеком (ПАО) договор 600005336042 от 02.02.2018 Услуги ИСС ""Бесплатный вызов"" + Услуги телекоммуникационной связи (квота по договору 90000)</t>
  </si>
  <si>
    <r>
      <rPr>
        <i/>
        <sz val="9"/>
        <color theme="1"/>
        <rFont val="Calibri"/>
        <family val="2"/>
        <charset val="204"/>
        <scheme val="minor"/>
      </rPr>
      <t xml:space="preserve">"Мастерра.ру (ООО) Договор №53771 от 23.12.2016 "Доступ к сети интернет - </t>
    </r>
    <r>
      <rPr>
        <i/>
        <sz val="9"/>
        <color rgb="FF000000"/>
        <rFont val="Calibri"/>
        <family val="2"/>
        <charset val="204"/>
      </rPr>
      <t xml:space="preserve">20000 ежемесячно + Доступ к сети передачи данных на ул. Матросова 14 ул. Ленина 29 - 3000 ежемесячно </t>
    </r>
    <r>
      <rPr>
        <i/>
        <sz val="9"/>
        <color rgb="FF000000"/>
        <rFont val="Calibri"/>
        <family val="2"/>
        <charset val="204"/>
      </rPr>
      <t>подключение гостиницы</t>
    </r>
    <r>
      <rPr>
        <i/>
        <sz val="9"/>
        <color rgb="FFFF0000"/>
        <rFont val="Calibri"/>
        <family val="2"/>
        <charset val="204"/>
      </rPr>
      <t xml:space="preserve"> Работают без НДС</t>
    </r>
  </si>
  <si>
    <r>
      <rPr>
        <i/>
        <sz val="9"/>
        <rFont val="Arial"/>
        <family val="2"/>
        <charset val="204"/>
      </rPr>
      <t xml:space="preserve">Почта России Почтовые расходы </t>
    </r>
    <r>
      <rPr>
        <i/>
        <sz val="9"/>
        <color rgb="FFFF0000"/>
        <rFont val="Arial"/>
        <family val="2"/>
        <charset val="204"/>
      </rPr>
      <t>Работают без НДС</t>
    </r>
  </si>
  <si>
    <t>11.9.</t>
  </si>
  <si>
    <r>
      <rPr>
        <sz val="10"/>
        <rFont val="Arial"/>
        <family val="2"/>
        <charset val="204"/>
      </rPr>
      <t xml:space="preserve">ООО "Рассвет" Услуга по предоставлению места для хранения автотраспортного средства 6000 ежемесячно </t>
    </r>
    <r>
      <rPr>
        <sz val="10"/>
        <color rgb="FFFF0000"/>
        <rFont val="Arial"/>
        <family val="2"/>
        <charset val="204"/>
      </rPr>
      <t>Работают без НДС</t>
    </r>
  </si>
  <si>
    <r>
      <rPr>
        <sz val="10"/>
        <rFont val="Arial"/>
        <family val="2"/>
        <charset val="204"/>
      </rPr>
      <t xml:space="preserve">УФК по Красноярскому краю (Администрация Таймырского Долгано-Ненецкого муниципального района л/с 041Договор </t>
    </r>
    <r>
      <rPr>
        <sz val="10"/>
        <color rgb="FFFF0000"/>
        <rFont val="Arial"/>
        <family val="2"/>
        <charset val="204"/>
      </rPr>
      <t xml:space="preserve">№А72-13 от 28.03.13 </t>
    </r>
    <r>
      <rPr>
        <sz val="10"/>
        <rFont val="Arial"/>
        <family val="2"/>
        <charset val="204"/>
      </rPr>
      <t xml:space="preserve">г.(срок на 10 лет; размер год ар/платы рассчитывается путем умножения кадастровой ст-ти участка на коэф-т вида разрешенного использования и на коэф-т категории арендатора А=Кс*К1*К2; ар/пл в квартал = А/4, где Кс= 6 622 770 руб.). Аренда земли Красноярский край, городское поселение Дудинка, г. Дудинка, в районе нефтеналивного причала </t>
    </r>
    <r>
      <rPr>
        <sz val="10"/>
        <color rgb="FFFF0000"/>
        <rFont val="Arial"/>
        <family val="2"/>
        <charset val="204"/>
      </rPr>
      <t>S 7 000 кв.м.</t>
    </r>
    <r>
      <rPr>
        <sz val="10"/>
        <rFont val="Arial"/>
        <family val="2"/>
        <charset val="204"/>
      </rPr>
      <t xml:space="preserve"> под площадку для складирования временных грузов (стоимость 2018 г., год - 34654,32). ОПЛАТА ежеквартально равными частями до 10 января, 10 апреля, 10 июля, 10 октября</t>
    </r>
  </si>
  <si>
    <r>
      <rPr>
        <sz val="10"/>
        <rFont val="Arial"/>
        <family val="2"/>
        <charset val="204"/>
      </rPr>
      <t xml:space="preserve">УФК по Красноярскому краю (Управление имущественных отношений Таймырского Долгано Ненецкого муниципального района) Договор </t>
    </r>
    <r>
      <rPr>
        <sz val="10"/>
        <color rgb="FFFF0000"/>
        <rFont val="Arial"/>
        <family val="2"/>
        <charset val="204"/>
      </rPr>
      <t>№А199-15 от 10.08.15</t>
    </r>
    <r>
      <rPr>
        <sz val="10"/>
        <rFont val="Arial"/>
        <family val="2"/>
        <charset val="204"/>
      </rPr>
      <t xml:space="preserve">. (срок на 10 лет; размер год ар/платы рассчитывается путем умножения кадастровой ст-ти участка на коэф-т вида разрешенного использования и на коэф-т категории арендатора). Земельные участки </t>
    </r>
    <r>
      <rPr>
        <sz val="10"/>
        <color rgb="FFFF0000"/>
        <rFont val="Arial"/>
        <family val="2"/>
        <charset val="204"/>
      </rPr>
      <t>S 137 558 кв.м.</t>
    </r>
    <r>
      <rPr>
        <sz val="10"/>
        <rFont val="Arial"/>
        <family val="2"/>
        <charset val="204"/>
      </rPr>
      <t xml:space="preserve"> (16 участков) из состава категории земель промышленности, энергетики, транспорта, связи,радиовещания,информатики,земель для обеспечения космической деятельности, земли обороны, безопасности и земель иного специального назначения, расположенные по адресу: Кр.кр., г.Норильск, район автодороги Норильск-Талнах. ОПЛАТА ежеквартально равными частями до 10 января, 10 апреля, 10 июля, 10 октября </t>
    </r>
  </si>
  <si>
    <t>11.10.</t>
  </si>
  <si>
    <t>11.10.1.</t>
  </si>
  <si>
    <t>Холодное водоснабжение (питьевая вода, куб.м.)</t>
  </si>
  <si>
    <t>расчет 2020-2021 гг. Прогноз показателей инфляции в крае до 2021 года Дефляторы по видам экономической деятельности (Наименование отрасли: водоснабжение, водоотведение,организация сбора и утилизации отходов,деятельность по ликвидации загрязнений (раздел Е): 2020/2019 - 104,0; 2021/2020-104,0)</t>
  </si>
  <si>
    <t>11.10.2.</t>
  </si>
  <si>
    <t>Горячее водоснабжение (компонент на теплоноситель, куб.м.)</t>
  </si>
  <si>
    <t>11.10.3.</t>
  </si>
  <si>
    <t>Водоотведение (куб.м.)</t>
  </si>
  <si>
    <t>11.10.4.</t>
  </si>
  <si>
    <r>
      <rPr>
        <sz val="10"/>
        <rFont val="Arial"/>
        <family val="2"/>
        <charset val="204"/>
      </rPr>
      <t>Профилактика (ООО)</t>
    </r>
    <r>
      <rPr>
        <sz val="10"/>
        <color rgb="FFFF000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Дератизация 201 кв.м.*4,20 (4,36) руб=844,20 + Дезинсекция 201 кв.м.*3,31 (3,44) ежемесячно </t>
    </r>
    <r>
      <rPr>
        <sz val="10"/>
        <color rgb="FFFF0000"/>
        <rFont val="Arial"/>
        <family val="2"/>
        <charset val="204"/>
      </rPr>
      <t>Работают без НДС</t>
    </r>
  </si>
  <si>
    <r>
      <rPr>
        <sz val="10"/>
        <rFont val="Arial"/>
        <family val="2"/>
        <charset val="204"/>
      </rPr>
      <t xml:space="preserve">НорильскВтормет Услуги по обезвреживанию отхода 0,32 куб.м.*1200 (1248) + Услуги по сбору и транспортированию отхода 8 рейсов*600 (624) +  Предоставление контейнера 1*1000 (1040) ежемесячно </t>
    </r>
    <r>
      <rPr>
        <sz val="10"/>
        <color rgb="FFFF0000"/>
        <rFont val="Arial"/>
        <family val="2"/>
        <charset val="204"/>
      </rPr>
      <t>Работают без НДС</t>
    </r>
  </si>
  <si>
    <r>
      <rPr>
        <sz val="10"/>
        <rFont val="Arial"/>
        <family val="2"/>
        <charset val="204"/>
      </rPr>
      <t xml:space="preserve">Стройбытсервис (ООО) 118-БУ/ТКО от 22.02.2018 размещение (захоронение) отходов 4,25 куб.м.-311,05  </t>
    </r>
    <r>
      <rPr>
        <sz val="10"/>
        <color rgb="FFFF0000"/>
        <rFont val="Arial"/>
        <family val="2"/>
        <charset val="204"/>
      </rPr>
      <t>Работают без НДС</t>
    </r>
  </si>
  <si>
    <r>
      <rPr>
        <sz val="10"/>
        <rFont val="Arial"/>
        <family val="2"/>
        <charset val="204"/>
      </rPr>
      <t xml:space="preserve">Верещагин Станислав Владимирович (ИП) 159 от 01.03.2017 Вывоз твердых бытовых отходов с обьекта: г. Норильск, автодорога Норильск-Талнах, 14км (Вальковское шоссе 46А ) 4,25 куб.м.*728 </t>
    </r>
    <r>
      <rPr>
        <sz val="10"/>
        <color rgb="FFFF0000"/>
        <rFont val="Arial"/>
        <family val="2"/>
        <charset val="204"/>
      </rPr>
      <t>Работают без НДС</t>
    </r>
  </si>
  <si>
    <t>Северовостокэлектромонтаж (ООО НМУ ОАО) 07-18 от 13.02.2018 утилизация ртутьсодержащих ламп 51 шт*39,06 факт 2018 г.</t>
  </si>
  <si>
    <r>
      <rPr>
        <sz val="10"/>
        <rFont val="Arial"/>
        <family val="2"/>
        <charset val="204"/>
      </rPr>
      <t>РусланТрансКомпания (ООО) Вывоз снега с объекта МП ""Таймыр"" г. Норильск, автодорога Норильск-Талнах, 14км (Вальковское шоссе 46А ) + Работа по очистке кровли</t>
    </r>
    <r>
      <rPr>
        <sz val="10"/>
        <color rgb="FFFF0000"/>
        <rFont val="Arial"/>
        <family val="2"/>
        <charset val="204"/>
      </rPr>
      <t xml:space="preserve"> Работают без НДС</t>
    </r>
  </si>
  <si>
    <r>
      <rPr>
        <sz val="10"/>
        <rFont val="Arial"/>
        <family val="2"/>
        <charset val="204"/>
      </rPr>
      <t xml:space="preserve">ООО "Бытовик" оказание услуг по отлову,эвтаназии и уничтожении (кремации) безнадзорных (бродячих) животных (факт 2017 г. 8*6926,66 3 квартал) </t>
    </r>
    <r>
      <rPr>
        <sz val="10"/>
        <color rgb="FFFF0000"/>
        <rFont val="Arial"/>
        <family val="2"/>
        <charset val="204"/>
      </rPr>
      <t>Работают без НДС</t>
    </r>
  </si>
  <si>
    <r>
      <rPr>
        <sz val="10"/>
        <rFont val="Arial"/>
        <family val="2"/>
        <charset val="204"/>
      </rPr>
      <t xml:space="preserve">РусланТрансКомпания (ООО) Вывоз снега с объекта МП ""Таймыр"" ул. Ленина 29 автомобилями-самосвалами на снегоотвал КАМАЗ 381 с 20.03.2018 по 23.03.2018г - 65000*2 + Очистка прилегающей территории к зданию МП ""Таймыр"" ул. Ленина 29 фронтальным погрузчиком на расстоянии 5м. от цокольной забирки с последующим вывозом" - 91000  +Работа по очистке кровли МП ""Таймыр"" ул. Ленина 29 с 20.03.2018-23.003.2018г.  - 39000*2 =1 квартал; "Вывоз снега с объекта МП ""Таймыр"" ул. Ленина 29 автомобилями-самосвалами на снегоотвал КАМАЗ 631 - 17500 + Очистка прилегающей территории к зданию МП ""Таймыр"" ул. Ленина 29 фронтальным погрузчиком на расстоянии 5м. от цокольной забирки с последующим вывозом" - 28000 + "Ручная очистка прилегающей территории разнорабочими МП ""Таймыр"" ул. Ленина 29 с 28.05.2018-31.05.2018г - 6000=2 квартал  </t>
    </r>
    <r>
      <rPr>
        <sz val="10"/>
        <color rgb="FFFF0000"/>
        <rFont val="Arial"/>
        <family val="2"/>
        <charset val="204"/>
      </rPr>
      <t>Работают без НДС</t>
    </r>
  </si>
  <si>
    <t>11.10.5.</t>
  </si>
  <si>
    <t>АО "Таймырбыт" Аварийное обслуживание сетей ТВСиК, электрических сетей</t>
  </si>
  <si>
    <t>АО "Таймырбыт" Техническое обслуживание приборов учета потребления воды, тепловой энергии и АСКУЭ</t>
  </si>
  <si>
    <t>11.10.6.</t>
  </si>
  <si>
    <r>
      <rPr>
        <sz val="10"/>
        <rFont val="Arial"/>
        <family val="2"/>
        <charset val="204"/>
      </rPr>
      <t xml:space="preserve">Региональный фонд капитального ремонта многоквартирных домов на территории Красноярского края Взнос на капитальны ремонт по адресу г. Норильск ул. 50 лет Октября, д.2, кв.1, 1  эт. с лифтом - 101,9 кв.м *10,40руб </t>
    </r>
    <r>
      <rPr>
        <sz val="10"/>
        <color rgb="FFFF0000"/>
        <rFont val="Arial"/>
        <family val="2"/>
        <charset val="204"/>
      </rPr>
      <t>Работают без НДС</t>
    </r>
  </si>
  <si>
    <t>11.10.7.</t>
  </si>
  <si>
    <t>Заполярный Жилищный трест (ООО) Содержание и ремонт общего имущества (ул. 50 лет Октября, д.2, кв.,101,9 кв.м.)</t>
  </si>
  <si>
    <t>11.11.</t>
  </si>
  <si>
    <t>"Издательство Форум Медиа (ООО)" Обновление к справочнику ""Контрактная система закупок для государственныхъ и муниципальных нужд. (+CD). Премиум.""- 3500(ежекв) + Издательство Форум Медиа (ООО) 62371/6456 от 19.07.2018" Подписка на справочник "Практика проведения закупок по 223-ФЗ"  - 9680 (3 кв. год)</t>
  </si>
  <si>
    <t>проживание "Редакционно-полиграфический комплекс "Таймыр" (МУКП) МК на подписку газеты "Таймыр" Подписка на газету "Таймыр" (1 комплект)</t>
  </si>
  <si>
    <t>11.12.</t>
  </si>
  <si>
    <r>
      <rPr>
        <sz val="9"/>
        <rFont val="Arial"/>
        <family val="2"/>
        <charset val="204"/>
      </rPr>
      <t xml:space="preserve">2018 РБП Страховая премия транспортного средства (ОСАГО) Автомашина Mitsubishi PAJERO SPORT </t>
    </r>
    <r>
      <rPr>
        <sz val="9"/>
        <color rgb="FFFF0000"/>
        <rFont val="Arial"/>
        <family val="2"/>
        <charset val="204"/>
      </rPr>
      <t>(оплата ноябрь 6669,22</t>
    </r>
    <r>
      <rPr>
        <sz val="9"/>
        <rFont val="Arial"/>
        <family val="2"/>
        <charset val="204"/>
      </rPr>
      <t>)</t>
    </r>
  </si>
  <si>
    <r>
      <rPr>
        <sz val="9"/>
        <rFont val="Arial"/>
        <family val="2"/>
        <charset val="204"/>
      </rPr>
      <t>РБП Страховая премия транспортного средства (ОСАГО) Телескопический погрузчик JCB 541-70</t>
    </r>
    <r>
      <rPr>
        <sz val="9"/>
        <color rgb="FFFF0000"/>
        <rFont val="Arial"/>
        <family val="2"/>
        <charset val="204"/>
      </rPr>
      <t xml:space="preserve"> (оплата апрель - 1011,60)</t>
    </r>
  </si>
  <si>
    <r>
      <rPr>
        <sz val="9"/>
        <rFont val="Arial"/>
        <family val="2"/>
        <charset val="204"/>
      </rPr>
      <t xml:space="preserve">РБП Страховая премия транспортного средства ОСАГО (Автомашина МАЗ 48072-0000010-07 Гос н А630УР24) </t>
    </r>
    <r>
      <rPr>
        <sz val="9"/>
        <color rgb="FFFF0000"/>
        <rFont val="Arial"/>
        <family val="2"/>
        <charset val="204"/>
      </rPr>
      <t>(оплата июнь-7704,07)</t>
    </r>
  </si>
  <si>
    <r>
      <rPr>
        <sz val="9"/>
        <rFont val="Arial"/>
        <family val="2"/>
        <charset val="204"/>
      </rPr>
      <t>РБП Страховая премия транспортного средства ОСАГО (Автомашина МАЗ 48072-0000010-07 Гос н А631УР24)</t>
    </r>
    <r>
      <rPr>
        <sz val="9"/>
        <color rgb="FFFF0000"/>
        <rFont val="Arial"/>
        <family val="2"/>
        <charset val="204"/>
      </rPr>
      <t xml:space="preserve"> (оплата июнь-7704,07)</t>
    </r>
  </si>
  <si>
    <r>
      <rPr>
        <sz val="9"/>
        <rFont val="Arial"/>
        <family val="2"/>
        <charset val="204"/>
      </rPr>
      <t xml:space="preserve">РБП Страховая премия транспортного средства ОСАГО (Автомашина УРАЛ 56901-000001 Гос номер М005СС124) </t>
    </r>
    <r>
      <rPr>
        <sz val="9"/>
        <color rgb="FFFF0000"/>
        <rFont val="Arial"/>
        <family val="2"/>
        <charset val="204"/>
      </rPr>
      <t>(оплата июнь-7704,07)</t>
    </r>
  </si>
  <si>
    <r>
      <rPr>
        <sz val="9"/>
        <rFont val="Arial"/>
        <family val="2"/>
        <charset val="204"/>
      </rPr>
      <t xml:space="preserve">РБП Страховая премия транспортного средства ОСАГО (Трактор Т 10МБ.0121-2) </t>
    </r>
    <r>
      <rPr>
        <sz val="9"/>
        <color rgb="FFFF0000"/>
        <rFont val="Arial"/>
        <family val="2"/>
        <charset val="204"/>
      </rPr>
      <t>(оплата июнь - 1011,60)</t>
    </r>
  </si>
  <si>
    <r>
      <rPr>
        <sz val="9"/>
        <rFont val="Arial"/>
        <family val="2"/>
        <charset val="204"/>
      </rPr>
      <t xml:space="preserve">РБП Страховая премия транспортного участка </t>
    </r>
    <r>
      <rPr>
        <sz val="9"/>
        <color rgb="FFFF0000"/>
        <rFont val="Arial"/>
        <family val="2"/>
        <charset val="204"/>
      </rPr>
      <t>(оплата март - 1399,20)</t>
    </r>
  </si>
  <si>
    <r>
      <rPr>
        <sz val="9"/>
        <rFont val="Arial"/>
        <family val="2"/>
        <charset val="204"/>
      </rPr>
      <t xml:space="preserve">2018 РБП Страховая премия транспортного средства (ОСАГО) Автомашина УАЗ Патриот </t>
    </r>
    <r>
      <rPr>
        <sz val="9"/>
        <color rgb="FFFF0000"/>
        <rFont val="Arial"/>
        <family val="2"/>
        <charset val="204"/>
      </rPr>
      <t>(оплата ноябрь - 5252,01)</t>
    </r>
  </si>
  <si>
    <r>
      <rPr>
        <sz val="10"/>
        <rFont val="Arial"/>
        <family val="2"/>
        <charset val="204"/>
      </rPr>
      <t xml:space="preserve">страхование экипажа и флота </t>
    </r>
    <r>
      <rPr>
        <sz val="10"/>
        <color rgb="FFFF0000"/>
        <rFont val="Arial"/>
        <family val="2"/>
        <charset val="204"/>
      </rPr>
      <t xml:space="preserve">(оплата июнь,июль) </t>
    </r>
    <r>
      <rPr>
        <sz val="10"/>
        <rFont val="Arial"/>
        <family val="2"/>
        <charset val="204"/>
      </rPr>
      <t>ГК РФ ст. 935</t>
    </r>
  </si>
  <si>
    <t>11.13.</t>
  </si>
  <si>
    <t>11.14.</t>
  </si>
  <si>
    <t>Компенсация расходов за проезд к месту работы (3 чел флотские) + 14 обучение противодействие коррупции</t>
  </si>
  <si>
    <t>11.15.</t>
  </si>
  <si>
    <r>
      <rPr>
        <sz val="10"/>
        <rFont val="Arial"/>
        <family val="2"/>
        <charset val="204"/>
      </rPr>
      <t xml:space="preserve">Банковская гарантия </t>
    </r>
    <r>
      <rPr>
        <sz val="10"/>
        <color rgb="FFFF0000"/>
        <rFont val="Arial"/>
        <family val="2"/>
        <charset val="204"/>
      </rPr>
      <t>(на 91 счете)</t>
    </r>
  </si>
  <si>
    <t>11.16.</t>
  </si>
  <si>
    <t>Полная себестоимость реализованной продукции, в том числе:</t>
  </si>
  <si>
    <t>12.1.</t>
  </si>
  <si>
    <t>Прямые (переменные) затраты</t>
  </si>
  <si>
    <t>12.2.</t>
  </si>
  <si>
    <t>Постоянные (общие) затраты</t>
  </si>
  <si>
    <t>СПРАВОЧНО:</t>
  </si>
  <si>
    <t>Реализация продукции, товаров, работ, услуг, в том числе:</t>
  </si>
  <si>
    <t>13.1.</t>
  </si>
  <si>
    <t>13.2.</t>
  </si>
  <si>
    <t>13.3.</t>
  </si>
  <si>
    <t>Себестоимость на 1 рубль реализованных продукции, товаров, работ, услуг, в том числе:</t>
  </si>
  <si>
    <t>руб.</t>
  </si>
  <si>
    <t>14.1.</t>
  </si>
  <si>
    <t>14.2.</t>
  </si>
  <si>
    <t>14.3.</t>
  </si>
  <si>
    <t>ИТОГО (не брать)</t>
  </si>
  <si>
    <t>ВСЕГО</t>
  </si>
  <si>
    <t>ПОКАЗАТЕЛИ ЭКОНОМИЧЕСКОЙ ЭФФЕКТИВНОСТИ ДЕЯТЕЛЬНОСТИ</t>
  </si>
  <si>
    <t>МУНИЦИПАЛЬНОГО ПРЕДПРИЯТИЯ</t>
  </si>
  <si>
    <t>на 2019 г. и плановый период 2020 - 2021 гг.</t>
  </si>
  <si>
    <t>Наименование показателя</t>
  </si>
  <si>
    <t>Выручка от реализации товаров, продукции, работ, услуг</t>
  </si>
  <si>
    <t>тыс. руб.</t>
  </si>
  <si>
    <t>Рентабельность продаж</t>
  </si>
  <si>
    <t>%</t>
  </si>
  <si>
    <t xml:space="preserve">Часть прибыли, подлежащая перечислению в муниципальный бюджет </t>
  </si>
  <si>
    <t>на 2025 г. и плановый период 2026-2027 гг.</t>
  </si>
  <si>
    <t>Сведения о муниципальном предприятии Таймырского Долгано-Ненецкого муниципального района (далее - муниципальное предприятие)</t>
  </si>
  <si>
    <t>647000, Красноярский край, Таймырский Долгано-Ненецкий муниципальный район, г. Дудинка, ул. Ленина, 29, офис 1</t>
  </si>
  <si>
    <t>647000, Красноярский край, Таймырский Долгано-Ненецкий муниципальный район, г. Дудинка, улица Ленина, 29, офис 1</t>
  </si>
  <si>
    <t xml:space="preserve"> office@mp-taimyr.ru</t>
  </si>
  <si>
    <t>Рыбин Евгений Алексеевич</t>
  </si>
  <si>
    <t>22.06.2023 г.</t>
  </si>
  <si>
    <t>№ 510-а</t>
  </si>
  <si>
    <t>начало</t>
  </si>
  <si>
    <t>01.07.2023 г.</t>
  </si>
  <si>
    <t>окончание</t>
  </si>
  <si>
    <t>30.06.2028 г.</t>
  </si>
  <si>
    <t>Раздел 1. План реализации продукции и расчет прибыли муниципального предприятия</t>
  </si>
  <si>
    <t>№ п/п</t>
  </si>
  <si>
    <t>2025 год</t>
  </si>
  <si>
    <t>I полугодие</t>
  </si>
  <si>
    <t>2026 год</t>
  </si>
  <si>
    <t>2027 год</t>
  </si>
  <si>
    <t>Объем реализации продукции, товаров, работ, услуг (в натуральном выражении):</t>
  </si>
  <si>
    <t>койко-сутки</t>
  </si>
  <si>
    <t>1.3.3.</t>
  </si>
  <si>
    <t>розничная торговля продовольственными товарами</t>
  </si>
  <si>
    <t>чек</t>
  </si>
  <si>
    <t>1.3.4.</t>
  </si>
  <si>
    <t>питание в кафе гостиницы</t>
  </si>
  <si>
    <t>Торговля розничная в нестационарных торговых объектах и на рынках пищевыми продуктами, напитками и табачной продукцией</t>
  </si>
  <si>
    <t>кг</t>
  </si>
  <si>
    <t>Выручка от реализации продукции, товаров, работ, услуг всего, в том числе:</t>
  </si>
  <si>
    <t>2.3.3.</t>
  </si>
  <si>
    <t>2.3.4.</t>
  </si>
  <si>
    <t>Себестоимость проданных продукции, товаров, работ, услуг всего, в том числе:</t>
  </si>
  <si>
    <t>Прибыль, остающаяся в распоряжении муниципального предприятия</t>
  </si>
  <si>
    <t>Раздел 2. Себестоимость продукции</t>
  </si>
  <si>
    <t>Затраты на сырье, материалы всего, в том числе:</t>
  </si>
  <si>
    <t>Продукты питания и напитки</t>
  </si>
  <si>
    <t>Товары в розничной торговле (по покупной стоимости)</t>
  </si>
  <si>
    <t>Вспомогательные материалы, комплектующие, инструменты, приспособления всего, в том числе:</t>
  </si>
  <si>
    <t>Налоги с выручки, относимые на текущие затраты всего, в том числе:</t>
  </si>
  <si>
    <t>Прочие налоги, относимые на текущие затраты всего, в том числе:</t>
  </si>
  <si>
    <t>10.4.</t>
  </si>
  <si>
    <t>Регистрационные сборы, государственные пошлины</t>
  </si>
  <si>
    <t>Прочие затраты всего, в том числе:</t>
  </si>
  <si>
    <t xml:space="preserve">Работы, направленные на ликвидацию ЧС </t>
  </si>
  <si>
    <r>
      <rPr>
        <sz val="11"/>
        <rFont val="Times New Roman"/>
        <family val="1"/>
        <charset val="204"/>
      </rPr>
      <t>Полная себестоимость реализованной продукции всего, в том числе:</t>
    </r>
  </si>
  <si>
    <r>
      <rPr>
        <sz val="11"/>
        <rFont val="Times New Roman"/>
        <family val="1"/>
        <charset val="204"/>
      </rPr>
      <t>тыс.руб.</t>
    </r>
  </si>
  <si>
    <t>Реализация продукции, товаров, работ, услуг всего, в том числе:</t>
  </si>
  <si>
    <t>13.4.</t>
  </si>
  <si>
    <t>Себестоимость на 1 рубль реализованных продукции, товаров, работ, услуг всего, в том числе:</t>
  </si>
  <si>
    <t>14.4.</t>
  </si>
  <si>
    <t>Раздел 3. Дебиторская и кредиторская задолженности</t>
  </si>
  <si>
    <t>(тыс.рублей)</t>
  </si>
  <si>
    <t xml:space="preserve">2025 год </t>
  </si>
  <si>
    <t>Остаток на начало</t>
  </si>
  <si>
    <t>Остаток на конец</t>
  </si>
  <si>
    <t xml:space="preserve">Остаток на начало </t>
  </si>
  <si>
    <t>Суммы кредиторской задолженности - всего, в том числе:</t>
  </si>
  <si>
    <t xml:space="preserve">1.1. расчеты с персоналом по оплате труда </t>
  </si>
  <si>
    <t>1.2. расчеты по социальному страхованию и обеспечению</t>
  </si>
  <si>
    <t>1.3. расчеты по налогам и сборам всего, в том числе:</t>
  </si>
  <si>
    <t>1.3.1. плата за загрязнение окружающей среды</t>
  </si>
  <si>
    <t>1.3.2. транспортный налог</t>
  </si>
  <si>
    <t>1.3.3. налог на имущество</t>
  </si>
  <si>
    <t>1.3.4. налог на прибыль</t>
  </si>
  <si>
    <t>1.3.5. НДС</t>
  </si>
  <si>
    <t>1.3.6. часть прибыли, подлежащая перечислению в муниципальный бюджет</t>
  </si>
  <si>
    <t xml:space="preserve">1.3.7. регистрационные сборы, государственные пошлины и иные аналогичные платежи </t>
  </si>
  <si>
    <t>1.3.8. НДФЛ</t>
  </si>
  <si>
    <t>1.3.9. ЕНВД</t>
  </si>
  <si>
    <t>1.3.9. Прочие налоги</t>
  </si>
  <si>
    <t>1.4. расчеты по краткосрочным кредитам и займам (в том числе % за пользование)</t>
  </si>
  <si>
    <t>Суммы дебиторской задолженности - всего, в том числе:</t>
  </si>
  <si>
    <t>2.1. деятельность внутреннего водного грузового транспорта</t>
  </si>
  <si>
    <t>2.2. аренда и управление имуществом (в том числе: возмещение затрат по оплате коммунальных услуг, хранение)</t>
  </si>
  <si>
    <t>2.3. деятельность гостиниц и прочих мест для временного проживания</t>
  </si>
  <si>
    <t>2.4. деятельность ресторанов и кафе</t>
  </si>
  <si>
    <t>2.5. прочие расчеты с покупателями и заказчиками</t>
  </si>
  <si>
    <t>на 2025 г. и плановый период 2026 - 2027 гг.</t>
  </si>
  <si>
    <r>
      <rPr>
        <sz val="10"/>
        <rFont val="Times New Roman"/>
        <family val="1"/>
        <charset val="204"/>
      </rPr>
      <t>Ед. изм.</t>
    </r>
  </si>
  <si>
    <r>
      <rPr>
        <sz val="10"/>
        <rFont val="Times New Roman"/>
        <family val="1"/>
        <charset val="204"/>
      </rPr>
      <t>2025 год</t>
    </r>
  </si>
  <si>
    <r>
      <rPr>
        <sz val="10"/>
        <rFont val="Times New Roman"/>
        <family val="1"/>
        <charset val="204"/>
      </rPr>
      <t>Плановый период</t>
    </r>
  </si>
  <si>
    <r>
      <rPr>
        <sz val="10"/>
        <rFont val="Times New Roman"/>
        <family val="1"/>
        <charset val="204"/>
      </rPr>
      <t>2026 год</t>
    </r>
  </si>
  <si>
    <r>
      <rPr>
        <sz val="10"/>
        <rFont val="Times New Roman"/>
        <family val="1"/>
        <charset val="204"/>
      </rPr>
      <t>2027 год</t>
    </r>
  </si>
  <si>
    <r>
      <rPr>
        <sz val="10"/>
        <rFont val="Times New Roman"/>
        <family val="1"/>
        <charset val="204"/>
      </rPr>
      <t>тыс. руб.</t>
    </r>
  </si>
  <si>
    <r>
      <rPr>
        <sz val="10"/>
        <rFont val="Times New Roman"/>
        <family val="1"/>
        <charset val="204"/>
      </rPr>
      <t>тыс. руб.</t>
    </r>
  </si>
  <si>
    <r>
      <rPr>
        <sz val="10"/>
        <rFont val="Times New Roman"/>
        <family val="1"/>
        <charset val="204"/>
      </rPr>
      <t>%</t>
    </r>
  </si>
  <si>
    <t>Расчет платы транспортного налога на 2018 год</t>
  </si>
  <si>
    <t>Раздел 3</t>
  </si>
  <si>
    <t>факт 2017</t>
  </si>
  <si>
    <t>Наименование подразделения</t>
  </si>
  <si>
    <t>Марка, модель ТС</t>
  </si>
  <si>
    <t>Дата реализации</t>
  </si>
  <si>
    <t>страховой полис (Дата получения)</t>
  </si>
  <si>
    <t>Прохождение ТО (№ свидетельства о прохождении ТО или отметка о его изъятии, дата прохождения)</t>
  </si>
  <si>
    <t>Тип двигателя (Б-бензиновый, Д-дизельный)</t>
  </si>
  <si>
    <t>Местонахождение</t>
  </si>
  <si>
    <t>Государственный регистрационный знак</t>
  </si>
  <si>
    <t xml:space="preserve">Марка, модель VIN </t>
  </si>
  <si>
    <t>Двигатель, Кузов</t>
  </si>
  <si>
    <t>Шасси</t>
  </si>
  <si>
    <t>Год выпуска</t>
  </si>
  <si>
    <t>Ед.измерения налоовой базы (ОКЕИ) (л.с.)</t>
  </si>
  <si>
    <t>Налоговая база (мощность двигателя л.с. (кВт)</t>
  </si>
  <si>
    <t>Коэффициент, определяемый в соот. с п.3 ст.362 НК РФ*</t>
  </si>
  <si>
    <t>Налоговые ставки, руб. **</t>
  </si>
  <si>
    <t>Исчисленная сумма налога (Налоговая база * Ставка налога)</t>
  </si>
  <si>
    <t>Код налоговой льготы</t>
  </si>
  <si>
    <t>Сумма льготы (руб.)</t>
  </si>
  <si>
    <t>Исчисленная сумма налога, подлежащая уплате в бюджет</t>
  </si>
  <si>
    <t>20, 26 квартал</t>
  </si>
  <si>
    <t>91.02.</t>
  </si>
  <si>
    <t xml:space="preserve">Норильский участок </t>
  </si>
  <si>
    <t>Урал 48072-0000010-07 а/м - самосвал</t>
  </si>
  <si>
    <t>Д</t>
  </si>
  <si>
    <t>г. Норильск</t>
  </si>
  <si>
    <t>А 630 УР 24</t>
  </si>
  <si>
    <t>48072-0000010-07 / Х9Z48072741301483</t>
  </si>
  <si>
    <t>Х9Z48072741301483 / 40215971</t>
  </si>
  <si>
    <t>55571041301483</t>
  </si>
  <si>
    <t>А 631 УР 24</t>
  </si>
  <si>
    <t>48072-0000010-07 / Х9Z48072741301476</t>
  </si>
  <si>
    <t>КАБ.4320004000 / 40215942</t>
  </si>
  <si>
    <t>55571041301476</t>
  </si>
  <si>
    <t xml:space="preserve">Автотопливозаправщик  </t>
  </si>
  <si>
    <t>М 006 СС 24</t>
  </si>
  <si>
    <t>5668-0000010-03 / X5W5668AP40000210</t>
  </si>
  <si>
    <t>0000538 / 40219163</t>
  </si>
  <si>
    <t>55570041302305</t>
  </si>
  <si>
    <t xml:space="preserve">Автоцистерна АЦПТ-6,6 </t>
  </si>
  <si>
    <t>М 005 СС 24</t>
  </si>
  <si>
    <t>56901-0000010 / Х5W5690P340000074</t>
  </si>
  <si>
    <t>0000711 / 40217966</t>
  </si>
  <si>
    <t>55571041301974</t>
  </si>
  <si>
    <t xml:space="preserve">Урал 4320-0111-31 № ш.1301937, грузовой-бортовой </t>
  </si>
  <si>
    <t>А 629 УР 24</t>
  </si>
  <si>
    <t>УРАЛ4320-0111-31 / Х1Р43200041301937</t>
  </si>
  <si>
    <t>АБ.43200040003659 / 40218268</t>
  </si>
  <si>
    <t>43200041301937</t>
  </si>
  <si>
    <t>Автомобиль ЗИЛ 131 НА, автофургон вахтовый</t>
  </si>
  <si>
    <t>M 010 CC 24</t>
  </si>
  <si>
    <t>ЗИЛ131НА / X7R131HA010051663</t>
  </si>
  <si>
    <t>X7R131HA010051663 / 0077724</t>
  </si>
  <si>
    <t>0051663</t>
  </si>
  <si>
    <t>MITSUBISHI PADJERO SPORT 3.0, легковой</t>
  </si>
  <si>
    <t>Б</t>
  </si>
  <si>
    <t>С 704 ВВ 124</t>
  </si>
  <si>
    <t>MITSUBISHIPAJERO SPORT3.0 / MMCGYKH60DDZ02696</t>
  </si>
  <si>
    <t>MMCGYKH60DDZ02696 / АУ5655</t>
  </si>
  <si>
    <t xml:space="preserve">MMCGYKH60DDZ02696 </t>
  </si>
  <si>
    <t>Прицеп к легковому автомобилю КРД 050122</t>
  </si>
  <si>
    <t>МВ 565324</t>
  </si>
  <si>
    <t>КРД050122 / У7S050122D0037061</t>
  </si>
  <si>
    <t>У7S050122D0037061</t>
  </si>
  <si>
    <t>-</t>
  </si>
  <si>
    <t>Дудинский участок</t>
  </si>
  <si>
    <t>Автомобиль УАЗ 3163-305</t>
  </si>
  <si>
    <t>18.10.17.</t>
  </si>
  <si>
    <t>г.Дудинка</t>
  </si>
  <si>
    <t>C 174 КМ 24</t>
  </si>
  <si>
    <t>УАЗ ПАТРИОТ / XTT316300F1045764</t>
  </si>
  <si>
    <t>316300F1045764 / F3037440</t>
  </si>
  <si>
    <t>316300F0529737</t>
  </si>
  <si>
    <t>127.9(94.1)</t>
  </si>
  <si>
    <t>Прицеп Трейлер 829450 (3,5*1,5 рес-16), прицеп-бортовой</t>
  </si>
  <si>
    <t>МВ 569924</t>
  </si>
  <si>
    <t>829450 / Х5С829450G0062333</t>
  </si>
  <si>
    <t>Х5С829450G0062333</t>
  </si>
  <si>
    <t>Снегоход  "Ямаха" VK540E, гусеничный</t>
  </si>
  <si>
    <t>подготовка к утилизации</t>
  </si>
  <si>
    <t>свидетельство изъято</t>
  </si>
  <si>
    <t>24 КС 4689</t>
  </si>
  <si>
    <t>JYE8АС00Х5А043063</t>
  </si>
  <si>
    <t>8АС-042358</t>
  </si>
  <si>
    <t>Автомобиль VOLKSWAGEN TOUREG</t>
  </si>
  <si>
    <t>12.07.16.</t>
  </si>
  <si>
    <t>A 635 УР 24</t>
  </si>
  <si>
    <t>WVGZZZ7LZ4D074022</t>
  </si>
  <si>
    <t>Трактор Т 10МБ.0121-2, гусеничный</t>
  </si>
  <si>
    <t>не требуется</t>
  </si>
  <si>
    <t>СК 722505</t>
  </si>
  <si>
    <t>п. Усть-Авам</t>
  </si>
  <si>
    <t>24 КР 7618</t>
  </si>
  <si>
    <t>Трактор Т10МБ.0121-2 (24КР 7619)</t>
  </si>
  <si>
    <t>11.01.16.</t>
  </si>
  <si>
    <t>24 КР 7619</t>
  </si>
  <si>
    <t>Трактор Т10МБ.0121-2 (24 КР 7620)</t>
  </si>
  <si>
    <t>26.03.15.</t>
  </si>
  <si>
    <t>24 КР 7620</t>
  </si>
  <si>
    <t>Трактор ДТ 75 ДТЕХС 2, гусеничный</t>
  </si>
  <si>
    <t>СК 722506</t>
  </si>
  <si>
    <t>24 КС 4687</t>
  </si>
  <si>
    <t>740964(752844)</t>
  </si>
  <si>
    <t>Универсальная дорожная машина "Кировец" К-702МВА-УДМ2, колесный</t>
  </si>
  <si>
    <t>ЕЕЕ 0382766236</t>
  </si>
  <si>
    <t>СК 722504</t>
  </si>
  <si>
    <t>24 КР 7611</t>
  </si>
  <si>
    <t>Катер на воздушной подушке А8 "Хивус-10"</t>
  </si>
  <si>
    <t>РГД30-22</t>
  </si>
  <si>
    <t xml:space="preserve"> ЗМЗ40920</t>
  </si>
  <si>
    <t>Автомобиль фургон ЗИЛ-5301БО*146640 ш.АФ474100</t>
  </si>
  <si>
    <t>01.07.14.</t>
  </si>
  <si>
    <t>А 628 УР 24</t>
  </si>
  <si>
    <t>Х9Н47410040001054</t>
  </si>
  <si>
    <t>(77)</t>
  </si>
  <si>
    <t>ГАЗ 2705-111</t>
  </si>
  <si>
    <t>14.06.13.</t>
  </si>
  <si>
    <t>А 633 УР 24</t>
  </si>
  <si>
    <t>ГАЗ2705 / ХТН27050040367043</t>
  </si>
  <si>
    <t>27050040113145 / 40012768</t>
  </si>
  <si>
    <t>Автомобиль ГАЗ 2705 (А634УР24)</t>
  </si>
  <si>
    <t>А 634 УР 24</t>
  </si>
  <si>
    <t>ГАЗ2705 / ХТН27050040371138</t>
  </si>
  <si>
    <t>27050040121403 / 40013171</t>
  </si>
  <si>
    <t>Урал 32551-0010-01 Х1Р32551041301176, специальное пассажирское</t>
  </si>
  <si>
    <t>21.04.15.</t>
  </si>
  <si>
    <t>М 007 СС 24</t>
  </si>
  <si>
    <t>УРАЛ32551-0010-41 / Х1Р32551041301176</t>
  </si>
  <si>
    <t>43200040002923 / 40214232</t>
  </si>
  <si>
    <t>43200041301176</t>
  </si>
  <si>
    <t>ИТОГО тр-й налог на 2018 год</t>
  </si>
  <si>
    <t>ИТОГО тр-й налог в квартал</t>
  </si>
  <si>
    <t>1-10, 20-22</t>
  </si>
  <si>
    <t>числится на учете в ГАИ</t>
  </si>
  <si>
    <t>12, 19</t>
  </si>
  <si>
    <t>не числится на учете в ГАИ</t>
  </si>
  <si>
    <t>11, 13-17</t>
  </si>
  <si>
    <t>(Служба по надзору за техническим состоянием самоходных машин и других видов техники Кр.кр. инспекия Гостехнадзора ТДНМР) Безносюк Алексей Владимирович</t>
  </si>
  <si>
    <t>ГИМС (судовой билет)</t>
  </si>
  <si>
    <t xml:space="preserve">*2. Сумма налога, подлежащая уплате в бюджет по итогам налогового периода, исчисляется в отношении каждого транспортного средства как произведение соответствующей налоговой базы и налоговой ставки, если иное не предусмотрено настоящей статьей.
</t>
  </si>
  <si>
    <t>Сумма налога, подлежащая уплате в бюджет налогоплательщиками-организациями, определяется как разница между исчисленной суммой налога и суммами авансовых платежей по налогу, подлежащих уплате в течение налогового периода.</t>
  </si>
  <si>
    <t>Исчисление суммы налога производится с учетом повышающего коэффициента:</t>
  </si>
  <si>
    <t>1,1 - в отношении легковых автомобилей средней стоимостью от 3 миллионов до 5 миллионов рублей включительно, с года выпуска которых прошло от 2 до 3 лет; и т.д.</t>
  </si>
  <si>
    <t>3. В случае регистрации транспортного средства и (или) снятия транспортного средства с регистрации (снятия с учета, исключения из государственного судового реестра и т.д.) в течение налогового (отчетного) периода исчисление суммы налога (суммы авансового платежа по налогу) производится с учетом коэффициента, определяемого как отношение числа полных месяцев, в течение которых данное транспортное средство было зарегистрировано на налогоплательщика, к числу календарных месяцев в налоговом (отчетном) периоде.</t>
  </si>
  <si>
    <t>Если регистрация транспортного средства произошла до 15-го числа соответствующего месяца включительно или снятие транспортного средства с регистрации (снятие с учета, исключение из государственного судового реестра и так далее) произошло после 15-го числа соответствующего месяца, за полный месяц принимается месяц регистрации (снятия с регистрации) транспортного средства.</t>
  </si>
  <si>
    <t xml:space="preserve">Если регистрация транспортного средства произошла после 15-го числа соответствующего месяца или снятие транспортного средства с регистрации (снятие с учета, исключение из государственного судового реестра и так далее) произошло до 15-го числа соответствующего месяца включительно, месяц регистрации (снятия с регистрации) транспортного средства не учитывается при определении коэффициента, указанного в настоящем пункте.
</t>
  </si>
  <si>
    <t xml:space="preserve">** ст. 361 НК РФ. Налоговые ставки устанавливаются законами субъектов Российской Федерации соответственно в зависимости от мощности двигателя, тяги реактивного двигателя или валовой вместимости транспортного средства в расчете на одну лошадиную силу мощности двигателя транспортного средства, один килограмм силы тяги реактивного двигателя, одну регистровую тонну транспортного средства или одну единицу транспортного средства в следующих размерах:
</t>
  </si>
  <si>
    <t xml:space="preserve">4. В случае, если налоговые ставки не определены законами субъектов Российской Федерации, налогообложение производится по налоговым ставкам, указанным в пункте 1 настоящей статьи.
</t>
  </si>
  <si>
    <t>При расчете тр-го налога, предприятие применяет налоговые ставки утвержденные Красноярским краем</t>
  </si>
  <si>
    <t xml:space="preserve">ст. 363 НК РФ. Сроки уплаты транспортного налога и авансовых платежей по налогу
:
</t>
  </si>
  <si>
    <t xml:space="preserve">1. Уплата налога и авансовых платежей по налогу производится налогоплательщиками в бюджет по месту нахождения транспортных средств.
</t>
  </si>
  <si>
    <t xml:space="preserve">Порядок и сроки уплаты налога и авансовых платежей по налогу для налогоплательщиков-организаций устанавливаются законами субъектов Российской Федерации. При этом срок уплаты налога не может быть установлен ранее срока, предусмотренного пунктом 3 статьи 363.1 настоящего Кодекса.
</t>
  </si>
  <si>
    <t xml:space="preserve">2. В течение налогового периода налогоплательщики-организации уплачивают авансовые платежи по налогу, если законами субъектов Российской Федерации не предусмотрено иное. По истечении налогового периода налогоплательщики-организации уплачивают сумму налога, исчисленную в порядке, предусмотренном пунктом 2 статьи 362 настоящего Кодекса.
</t>
  </si>
  <si>
    <t xml:space="preserve">Статья 363.1. Налоговая декларация
</t>
  </si>
  <si>
    <t xml:space="preserve">1. Налогоплательщики-организации по истечении налогового периода представляют в налоговый орган по месту нахождения транспортных средств налоговую декларацию по налогу.
</t>
  </si>
  <si>
    <r>
      <rPr>
        <sz val="11"/>
        <color theme="1"/>
        <rFont val="Times New Roman"/>
        <family val="1"/>
        <charset val="204"/>
      </rPr>
      <t xml:space="preserve">3. </t>
    </r>
    <r>
      <rPr>
        <sz val="11"/>
        <color rgb="FFFF0000"/>
        <rFont val="Times New Roman"/>
        <family val="1"/>
        <charset val="204"/>
      </rPr>
      <t xml:space="preserve">Налоговые декларации по налогу представляются </t>
    </r>
    <r>
      <rPr>
        <sz val="11"/>
        <color rgb="FF000000"/>
        <rFont val="Times New Roman"/>
        <family val="1"/>
        <charset val="204"/>
      </rPr>
      <t xml:space="preserve">налогоплательщиками-организациями не </t>
    </r>
    <r>
      <rPr>
        <sz val="11"/>
        <color rgb="FFFF0000"/>
        <rFont val="Times New Roman"/>
        <family val="1"/>
        <charset val="204"/>
      </rPr>
      <t>позднее 1 февраля года</t>
    </r>
    <r>
      <rPr>
        <sz val="11"/>
        <color rgb="FF000000"/>
        <rFont val="Times New Roman"/>
        <family val="1"/>
        <charset val="204"/>
      </rPr>
      <t>, следующего за истекшим налоговым периодом.</t>
    </r>
    <r>
      <rPr>
        <sz val="11"/>
        <color theme="1"/>
        <rFont val="Calibri"/>
        <family val="2"/>
        <charset val="204"/>
      </rPr>
      <t xml:space="preserve">
</t>
    </r>
  </si>
  <si>
    <t>Статья 360. Налоговый период. Отчетный период</t>
  </si>
  <si>
    <t>1. Налоговым периодом признается календарный год.</t>
  </si>
  <si>
    <t xml:space="preserve">2. Отчетными периодами для налогоплательщиков-организаций признаются первый квартал, второй квартал, третий квартал.
</t>
  </si>
  <si>
    <t>На сайте ФНС России заработал новый сервис "Налоговый калькулятор - Расчет транспортного налога", который разработан специально для проверки начисленной суммы транспортного налога.</t>
  </si>
  <si>
    <t xml:space="preserve">Срок уплаты налога установлен законом субъекта РФ, в котором зарегистрирован автомобиль (ст. 356 НК РФ).В отношении налогоплательщиков-организаций законодательные (представительные) органы субъектов Российской Федерации, устанавливая налог, определяют также порядок и сроки уплаты налога.
</t>
  </si>
  <si>
    <t>Авансовые платежи за I, II и III кварталы надо платить, если это предусмотрено законом субъекта РФ (п. 2 ст. 363 НК РФ).</t>
  </si>
  <si>
    <t>Узнать сроки уплаты налога и авансовых платежей в своем регионе можно на сайте ФНС, сервис "Справочная информация о ставках и льготах по имущественным налогам" (http://www.nalog.ru/rn77/service/tax/).</t>
  </si>
  <si>
    <t>Уплата транспортного налога:</t>
  </si>
  <si>
    <r>
      <rPr>
        <sz val="11"/>
        <color rgb="FFFF0000"/>
        <rFont val="Times New Roman"/>
        <family val="1"/>
        <charset val="204"/>
      </rPr>
      <t xml:space="preserve">Авансовые платежи за I квартал </t>
    </r>
    <r>
      <rPr>
        <sz val="11"/>
        <color rgb="FF000000"/>
        <rFont val="Times New Roman"/>
        <family val="1"/>
        <charset val="204"/>
      </rPr>
      <t xml:space="preserve">надо платить - последнее число месяца, следующего за истекшим отчетным периодом - </t>
    </r>
    <r>
      <rPr>
        <sz val="11"/>
        <color rgb="FFFF0000"/>
        <rFont val="Times New Roman"/>
        <family val="1"/>
        <charset val="204"/>
      </rPr>
      <t>30 апреля 2018 г.</t>
    </r>
  </si>
  <si>
    <r>
      <rPr>
        <sz val="11"/>
        <color rgb="FFFF0000"/>
        <rFont val="Times New Roman"/>
        <family val="1"/>
        <charset val="204"/>
      </rPr>
      <t xml:space="preserve">Авансовые платежи за II квартал </t>
    </r>
    <r>
      <rPr>
        <sz val="11"/>
        <color rgb="FF000000"/>
        <rFont val="Times New Roman"/>
        <family val="1"/>
        <charset val="204"/>
      </rPr>
      <t xml:space="preserve">надо платить - последнее число месяца, следующего за истекшим отчетным периодом - </t>
    </r>
    <r>
      <rPr>
        <sz val="11"/>
        <color rgb="FFFF0000"/>
        <rFont val="Times New Roman"/>
        <family val="1"/>
        <charset val="204"/>
      </rPr>
      <t>31 июля 2018 г.</t>
    </r>
  </si>
  <si>
    <r>
      <rPr>
        <sz val="11"/>
        <color rgb="FFFF0000"/>
        <rFont val="Times New Roman"/>
        <family val="1"/>
        <charset val="204"/>
      </rPr>
      <t xml:space="preserve">Авансовые платежи за III квартал </t>
    </r>
    <r>
      <rPr>
        <sz val="11"/>
        <color rgb="FF000000"/>
        <rFont val="Times New Roman"/>
        <family val="1"/>
        <charset val="204"/>
      </rPr>
      <t xml:space="preserve">надо платить - последнее число месяца, следующего за истекшим отчетным периодом - </t>
    </r>
    <r>
      <rPr>
        <sz val="11"/>
        <color rgb="FFFF0000"/>
        <rFont val="Times New Roman"/>
        <family val="1"/>
        <charset val="204"/>
      </rPr>
      <t>31 октября 2018 г.</t>
    </r>
  </si>
  <si>
    <r>
      <rPr>
        <sz val="11"/>
        <color rgb="FFFF0000"/>
        <rFont val="Times New Roman"/>
        <family val="1"/>
        <charset val="204"/>
      </rPr>
      <t>Год</t>
    </r>
    <r>
      <rPr>
        <sz val="11"/>
        <color rgb="FF000000"/>
        <rFont val="Times New Roman"/>
        <family val="1"/>
        <charset val="204"/>
      </rPr>
      <t xml:space="preserve"> - налоговая декларация </t>
    </r>
    <r>
      <rPr>
        <sz val="11"/>
        <color rgb="FFFF0000"/>
        <rFont val="Times New Roman"/>
        <family val="1"/>
        <charset val="204"/>
      </rPr>
      <t>предоставляется</t>
    </r>
    <r>
      <rPr>
        <sz val="11"/>
        <color rgb="FF000000"/>
        <rFont val="Times New Roman"/>
        <family val="1"/>
        <charset val="204"/>
      </rPr>
      <t xml:space="preserve">  не позднее 1 февраля года, следующего за истекшим налоговым периодом </t>
    </r>
    <r>
      <rPr>
        <sz val="11"/>
        <color rgb="FFFF0000"/>
        <rFont val="Times New Roman"/>
        <family val="1"/>
        <charset val="204"/>
      </rPr>
      <t>(т.е. до 01.02.2019 г.), а оплата</t>
    </r>
    <r>
      <rPr>
        <sz val="11"/>
        <color rgb="FF000000"/>
        <rFont val="Times New Roman"/>
        <family val="1"/>
        <charset val="204"/>
      </rPr>
      <t xml:space="preserve"> (как разница исчисленного налога за год за минусом уплаченных авансовых платежей)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rgb="FF000000"/>
        <rFont val="Times New Roman"/>
        <family val="1"/>
        <charset val="204"/>
      </rPr>
      <t>не позднее 10 дней после сдачи декларации</t>
    </r>
    <r>
      <rPr>
        <sz val="11"/>
        <color rgb="FFFF0000"/>
        <rFont val="Times New Roman"/>
        <family val="1"/>
        <charset val="204"/>
      </rPr>
      <t xml:space="preserve"> - т.е. 10.02.19.</t>
    </r>
  </si>
  <si>
    <t>код подразделения</t>
  </si>
  <si>
    <t>Вид платежа</t>
  </si>
  <si>
    <t>Сумма</t>
  </si>
  <si>
    <t>1 кв</t>
  </si>
  <si>
    <t>2 кв</t>
  </si>
  <si>
    <t>3 кв</t>
  </si>
  <si>
    <t>4 кв</t>
  </si>
  <si>
    <t>01.</t>
  </si>
  <si>
    <t>04811201040016000120</t>
  </si>
  <si>
    <t>авансовый платеж за размещение отходов производста и потребления</t>
  </si>
  <si>
    <t>02.</t>
  </si>
  <si>
    <t>Норильский участок - земля</t>
  </si>
  <si>
    <t>04811201010016000120</t>
  </si>
  <si>
    <t>авансовый платеж за выбросы загрязняющих веществ в атмосферный воздух стационарными объектами</t>
  </si>
  <si>
    <t>03.</t>
  </si>
  <si>
    <t>Норильский участок - флот</t>
  </si>
  <si>
    <t xml:space="preserve">04. </t>
  </si>
  <si>
    <t>Енисейский участок</t>
  </si>
  <si>
    <t>ИТОГО</t>
  </si>
  <si>
    <t xml:space="preserve">Штатное расписание от 15.06.18. № 6-ШР (Утвержденное приказом МП "Таймыр" от 15.06.18. № 56) согласованного с Управлением транспорта, информатизации и связи Администрации ТДНМР в соответствии с п.5.8. Устава МП «Таймыр» утвержденного приказом Управления имущественных отношений ТДНМР от 06.05.2015 г. № 809 </t>
  </si>
  <si>
    <t>Структурное подразделение</t>
  </si>
  <si>
    <t>Должность (специальность, профессия), разряд, класс (категория) квалификации</t>
  </si>
  <si>
    <t>ФИО</t>
  </si>
  <si>
    <t>Количество штатных единиц</t>
  </si>
  <si>
    <t>категория персонала</t>
  </si>
  <si>
    <t>Разряд</t>
  </si>
  <si>
    <t>Тарифный коэффициент/                                                          кратность</t>
  </si>
  <si>
    <t xml:space="preserve">Базовая месячная тарифная ставка 1 разряда </t>
  </si>
  <si>
    <t>Тарифная ставка (оклад) и пр., руб.</t>
  </si>
  <si>
    <t>Надбавки, руб.</t>
  </si>
  <si>
    <t>Итого в месяц на 1 шт.ед., руб.((гр.8 + гр.10+гр.12+гр.14+гр.16+гр.17+гр.18)</t>
  </si>
  <si>
    <t>Всего в месяц, руб. (гр.19*гр.4)</t>
  </si>
  <si>
    <r>
      <rPr>
        <b/>
        <sz val="10"/>
        <rFont val="Times New Roman"/>
        <family val="1"/>
        <charset val="204"/>
      </rPr>
      <t xml:space="preserve">Стимулирующая выплата директору (гр.8*1,5) </t>
    </r>
    <r>
      <rPr>
        <b/>
        <sz val="10"/>
        <color rgb="FFFF0000"/>
        <rFont val="Times New Roman"/>
        <family val="1"/>
        <charset val="204"/>
      </rPr>
      <t>(учесть в 4 кв.)</t>
    </r>
  </si>
  <si>
    <t>Примечание</t>
  </si>
  <si>
    <t>кол-во дней (с учетом дополнительно оплачиваемых дней за ненормированный рабочий день, в соответствии с ПВТР утвержденных приказом Директора МП "Таймыр" от 15.02.18. № 10)</t>
  </si>
  <si>
    <t>п. 6.3.3. Единовременные дополнительные (поощрительные) выплаты. (за высокие результаты работ по итогам квартала, полугодия, и т.д) (Размер дополнительной премии устанавливается в твердой денежной сумме (до 100 000,00 рублей). Районный коэффициент и северные надбавки не применяются) Положения "Об оплате труда и выплат за счет прибыли предприятия" (Редакция 1) утвержденного приказом Директора МП "Таймыр"  от 24.10.17. №102</t>
  </si>
  <si>
    <t>добавить пропорционально в каждый месяц, т.к. нет графика отпусков</t>
  </si>
  <si>
    <t>Раздел 4. Расходы на оплату труда, тыс. руб. (ФЗП + отпускные)</t>
  </si>
  <si>
    <t>Раздел 4. Отчисления с ФОТ (Раздел 3 ст.5. Отчисления с заработной платы*0,309) , тыс. руб.</t>
  </si>
  <si>
    <t>Справочно: согласно Положения об оплате труда и выплат за счет прибыли предприятия утвержденного приказом директора МП "Таймыр" (Редакция 1) от 15.02.18. № 10 (ТОЛЬКО ПО ОСНОВНОМУ МЕСТУ РАБОТЫ)</t>
  </si>
  <si>
    <t xml:space="preserve"> Раздел 5 статья 1.5. материальное поощрение работников</t>
  </si>
  <si>
    <t>Наименование</t>
  </si>
  <si>
    <t>Код</t>
  </si>
  <si>
    <t>Вредные условия труда</t>
  </si>
  <si>
    <t>Классность</t>
  </si>
  <si>
    <t>Работа в ночное время</t>
  </si>
  <si>
    <t>Премия</t>
  </si>
  <si>
    <t>Районный коэффициент, 80%</t>
  </si>
  <si>
    <t>Работа в РКС, 80%</t>
  </si>
  <si>
    <t xml:space="preserve">январь </t>
  </si>
  <si>
    <t xml:space="preserve">февраль 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</si>
  <si>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</si>
  <si>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</si>
  <si>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</si>
  <si>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</si>
  <si>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</si>
  <si>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</si>
  <si>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</si>
  <si>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</si>
  <si>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</si>
  <si>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</si>
  <si>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 квартал</t>
  </si>
  <si>
    <t>2 квартал</t>
  </si>
  <si>
    <t>3 квартал</t>
  </si>
  <si>
    <t>4 квартал</t>
  </si>
  <si>
    <r>
      <rPr>
        <sz val="10"/>
        <rFont val="Times New Roman"/>
        <family val="1"/>
        <charset val="204"/>
      </rPr>
      <t xml:space="preserve">к отпуску (проработавшим не менее 1 года) </t>
    </r>
    <r>
      <rPr>
        <b/>
        <sz val="10"/>
        <rFont val="Times New Roman"/>
        <family val="1"/>
        <charset val="204"/>
      </rPr>
      <t>(добавить в кадый квартал)</t>
    </r>
  </si>
  <si>
    <r>
      <rPr>
        <sz val="9"/>
        <rFont val="Times New Roman"/>
        <family val="1"/>
        <charset val="204"/>
      </rPr>
      <t xml:space="preserve">8 марта, 23 февраля </t>
    </r>
    <r>
      <rPr>
        <b/>
        <sz val="9"/>
        <rFont val="Times New Roman"/>
        <family val="1"/>
        <charset val="204"/>
      </rPr>
      <t xml:space="preserve"> добавить в 1 кв.</t>
    </r>
  </si>
  <si>
    <r>
      <rPr>
        <sz val="9"/>
        <rFont val="Times New Roman"/>
        <family val="1"/>
        <charset val="204"/>
      </rPr>
      <t xml:space="preserve">проф пр (первое воскресенье июля)  </t>
    </r>
    <r>
      <rPr>
        <b/>
        <sz val="9"/>
        <rFont val="Times New Roman"/>
        <family val="1"/>
        <charset val="204"/>
      </rPr>
      <t>добавить в 3 кв.</t>
    </r>
  </si>
  <si>
    <r>
      <rPr>
        <sz val="9"/>
        <rFont val="Times New Roman"/>
        <family val="1"/>
        <charset val="204"/>
      </rPr>
      <t xml:space="preserve">нг  </t>
    </r>
    <r>
      <rPr>
        <b/>
        <sz val="9"/>
        <rFont val="Times New Roman"/>
        <family val="1"/>
        <charset val="204"/>
      </rPr>
      <t>добавить в 4 кв.</t>
    </r>
  </si>
  <si>
    <r>
      <rPr>
        <sz val="9"/>
        <rFont val="Times New Roman"/>
        <family val="1"/>
        <charset val="204"/>
      </rPr>
      <t xml:space="preserve">к юбилейным датам </t>
    </r>
    <r>
      <rPr>
        <b/>
        <sz val="9"/>
        <rFont val="Times New Roman"/>
        <family val="1"/>
        <charset val="204"/>
      </rPr>
      <t>добавить по людям</t>
    </r>
  </si>
  <si>
    <t>при рождении ребенка</t>
  </si>
  <si>
    <t>Материальная помощь (начисленная)</t>
  </si>
  <si>
    <t>Отчисления 30,9 (*0,309)</t>
  </si>
  <si>
    <t>Итого мат помощь с отчислениями</t>
  </si>
  <si>
    <t>добавить в  3 кв.</t>
  </si>
  <si>
    <t>добавить в  кв.</t>
  </si>
  <si>
    <t>добавить в  1 кв.</t>
  </si>
  <si>
    <t>01</t>
  </si>
  <si>
    <t>Директор</t>
  </si>
  <si>
    <t>ВАКАНСИЯ и.о. Красовкая</t>
  </si>
  <si>
    <t>АУП</t>
  </si>
  <si>
    <t>тарифная ставка (оклад)  - в кратности 2,70 (предел 3,21) от тарифной ставки (оклада) капитана; стимулирующие выплаты - 1,5 размера тарифной ставки (оклада) 1 раз в квартал за фактически отработанное время без коэффициентов РК и РКС (89 926,20 руб.) (Решение Думы ТДНМР от 12.12.07 г. № 07-0221)</t>
  </si>
  <si>
    <t>Штат при руководстве</t>
  </si>
  <si>
    <t>Первый заместитель директора</t>
  </si>
  <si>
    <t>Заместитель директора</t>
  </si>
  <si>
    <t>Главный бухгалтер</t>
  </si>
  <si>
    <t>Черников Олег Михайлович</t>
  </si>
  <si>
    <t>Главный экономист</t>
  </si>
  <si>
    <t>Степанова Анна Валерьевна</t>
  </si>
  <si>
    <t>Юрисконсульт</t>
  </si>
  <si>
    <t>Муринец Роман Валерьевич</t>
  </si>
  <si>
    <t>Ведущий бухгалтер</t>
  </si>
  <si>
    <t>Паращин Антонина Николаеввна</t>
  </si>
  <si>
    <t>Экономист по труду и заработной плате</t>
  </si>
  <si>
    <t>Пустовая Ольга Викторовна с 01.03.18. -0,5 ст внутренний совместитель</t>
  </si>
  <si>
    <t>Бухгалтер</t>
  </si>
  <si>
    <t>Топоева Екатерина Николаевна</t>
  </si>
  <si>
    <t>Специалист по персоналу</t>
  </si>
  <si>
    <t>Махаева Марина Петровна (на время д/о)</t>
  </si>
  <si>
    <t xml:space="preserve">Новикова Мадина Батырхановна (д/о); </t>
  </si>
  <si>
    <t xml:space="preserve">Указ Президента РФ "О размере компенсационных выплат отдельным категориям граждан" от 30.05.94 г. № 1110 (В целях усиления социальной защищенности отдельных категорий граждан: матерям находящимся в отпуске по уходу за ребенком до достижения им 3-летнего возраста) (ежемесячные компенсационные выплаты в размере 50*1,8=90,00 руб).
</t>
  </si>
  <si>
    <t>Специалист по закупкам</t>
  </si>
  <si>
    <t>Доплата за совмещение профессий (должностей) Муринец Роман Валерьевич - 40 % от основного оклада с 01.01.18.(приказ от 29.12.17. № 173-17 л/с)</t>
  </si>
  <si>
    <t>Программист</t>
  </si>
  <si>
    <t>внешний совместитель Карпов Денис Михайлович 0,3; внешний совместитель 0,2</t>
  </si>
  <si>
    <t>Водитель автомобиля</t>
  </si>
  <si>
    <t>Козлов Евгений Евгеньевич</t>
  </si>
  <si>
    <t>Секретарь руководителя</t>
  </si>
  <si>
    <t>Денисова Ирина Александровна (д/о);</t>
  </si>
  <si>
    <t>Уборщик служебных помещений</t>
  </si>
  <si>
    <t>внешний совместитель 0,5 Бахметьева Юлия Владимировна</t>
  </si>
  <si>
    <t>Делопроизводитель</t>
  </si>
  <si>
    <t>Жеребьева Мария Геннадьевна</t>
  </si>
  <si>
    <t>Итого:</t>
  </si>
  <si>
    <t>Норильский участок</t>
  </si>
  <si>
    <t>02</t>
  </si>
  <si>
    <t>Главный инженер</t>
  </si>
  <si>
    <t>Луговой Антон Викторович</t>
  </si>
  <si>
    <t>ОПП</t>
  </si>
  <si>
    <t>Капитан теплохода</t>
  </si>
  <si>
    <t xml:space="preserve">Пузиков Евгений Николаевич </t>
  </si>
  <si>
    <t>ВПП</t>
  </si>
  <si>
    <t xml:space="preserve">Вдовин Дмитрий Александрович </t>
  </si>
  <si>
    <t xml:space="preserve">Волков Сергей Анатольевич </t>
  </si>
  <si>
    <t>срочный трудовой договор с 01.04.19.-30.09.19.</t>
  </si>
  <si>
    <t>Специалист по снабжению</t>
  </si>
  <si>
    <t>Граборов Геннадий Петрович</t>
  </si>
  <si>
    <t>Первый помощник капитана-первый помощник механика</t>
  </si>
  <si>
    <t xml:space="preserve">Седов Евгений Александрович </t>
  </si>
  <si>
    <t>Мастер участка</t>
  </si>
  <si>
    <t>внутренний совместитель 0,5 Воробьев Петр Петрович</t>
  </si>
  <si>
    <t>Механик участка</t>
  </si>
  <si>
    <t>Блинов Илья</t>
  </si>
  <si>
    <t>Специалист по охране труда</t>
  </si>
  <si>
    <t>внутренний совместитель 0,5 Луговой Антон Викторович</t>
  </si>
  <si>
    <t>Инженер-энергетик</t>
  </si>
  <si>
    <t>Воробьев Петр Петрович</t>
  </si>
  <si>
    <t>Специалист административно-хозяйственной деятельности</t>
  </si>
  <si>
    <t>внутренний совместитель 0,5 Блинов Илья</t>
  </si>
  <si>
    <t>Специалист по обеспечению безопасной эксплуатации судов</t>
  </si>
  <si>
    <t>Локтионов Евгений Михайлович (дистанционно)</t>
  </si>
  <si>
    <t>Специалист по организации технической эксплуатации флота</t>
  </si>
  <si>
    <t>Водитель грузового автомобиля</t>
  </si>
  <si>
    <t>Кузнецов Юрий Викторович</t>
  </si>
  <si>
    <t>Водитель погрузчика</t>
  </si>
  <si>
    <t>Фриптуляк Алексей Анатольевич</t>
  </si>
  <si>
    <t>Машинист крана (крановщик)</t>
  </si>
  <si>
    <t>вакансия (доплата в навигацию)</t>
  </si>
  <si>
    <t>Электросварщик ручной сварки</t>
  </si>
  <si>
    <t xml:space="preserve">Гаврилишен Игорь Валентинович </t>
  </si>
  <si>
    <t>Слесарь-сантехник</t>
  </si>
  <si>
    <t>Хмелёв Андрей Иванович</t>
  </si>
  <si>
    <t xml:space="preserve">Худайбердиев Баудин Зиявдинович </t>
  </si>
  <si>
    <t>Черкашин Василий Леонидович</t>
  </si>
  <si>
    <t>вакансия</t>
  </si>
  <si>
    <t>Матрос</t>
  </si>
  <si>
    <t>Слесарь по ремонту автомобилей</t>
  </si>
  <si>
    <t>Электромонтер по ремонту и обслуживанию электрооборудования</t>
  </si>
  <si>
    <t>Шель Василий Рейнгольдович</t>
  </si>
  <si>
    <t>Стропальщик</t>
  </si>
  <si>
    <t>Подсобный рабочий</t>
  </si>
  <si>
    <t>Бурцев Виктор Витальевич</t>
  </si>
  <si>
    <t>Плотник</t>
  </si>
  <si>
    <t>Ефименко Виктор Петрович</t>
  </si>
  <si>
    <t>Уборщик производственных помещений</t>
  </si>
  <si>
    <t>внутренний совместитель Мосина Татьяна Вячеславовна</t>
  </si>
  <si>
    <t>Оператор диспетчерской службы</t>
  </si>
  <si>
    <t>Воронина Юлия Вячеславовна</t>
  </si>
  <si>
    <t>Мосина Виктория Александровна</t>
  </si>
  <si>
    <t>Мосина Татьяна Вячеславовна</t>
  </si>
  <si>
    <t>Мухаметзянова Светлана Ивановна</t>
  </si>
  <si>
    <t>Пашковская Ольга Евгеньевна</t>
  </si>
  <si>
    <t>во исполнение ФЗ от 24.11.1995 г. № 181-ФЗ «О социальной защите инвалидов в РФ», руководствуясь пунктом 1 статьи 2 Закона Красноярского края от 29.01.2004 г. № 9-1712 «О квотировании рабочих мест для инвалидов», пунктом 2.3. Порядка проведения специальных мероприятий для предоставления инвалидам гарантий трудовой занятости, утвержденного постановлением Правительства Красноярского края от 19.04.2016 г. № 184-п</t>
  </si>
  <si>
    <t>Гостиница</t>
  </si>
  <si>
    <t>03</t>
  </si>
  <si>
    <t>Заведующий гостиницы</t>
  </si>
  <si>
    <t>Пустовая Ольга Викторовна</t>
  </si>
  <si>
    <t>Администратор</t>
  </si>
  <si>
    <t>Лысаковская Елена Владимировна</t>
  </si>
  <si>
    <t>Евтушенко Марина Ивановна</t>
  </si>
  <si>
    <t>Попкова Ирина Михайловна</t>
  </si>
  <si>
    <t>Смокович Полина Валерьевна</t>
  </si>
  <si>
    <t>Павлова Татьяна Анатольевна</t>
  </si>
  <si>
    <t>Дежурный по этажу</t>
  </si>
  <si>
    <t>Рылова Татьяна Витальевна</t>
  </si>
  <si>
    <t>Варфоломеева Юлия Андреевна</t>
  </si>
  <si>
    <t>Игнатова Надежда Владимировна</t>
  </si>
  <si>
    <t>Коломажина Мария Владимировна</t>
  </si>
  <si>
    <t>Васильева Оксана Ивановна</t>
  </si>
  <si>
    <t>Молодяев Алексей Герасимович</t>
  </si>
  <si>
    <t>Кладовщик</t>
  </si>
  <si>
    <t>Полякова Нелли Васильевна</t>
  </si>
  <si>
    <t>внутреннии совместители</t>
  </si>
  <si>
    <t>Машинист по стирке и ремонту спецодежды</t>
  </si>
  <si>
    <t>Середина Ольга Владимировна</t>
  </si>
  <si>
    <t>ВСЕГО:</t>
  </si>
  <si>
    <t>было в плане</t>
  </si>
  <si>
    <t>На основании ФЗ от 03.12.11. № 379-ФЗ , для плательщиков страховых взносов, указанных в п.1 части 1 статьи 5, применяются следующие тарифы страховых взносов:</t>
  </si>
  <si>
    <t>разница, в т.ч.</t>
  </si>
  <si>
    <t>Пенсионный фонд РФ -22%</t>
  </si>
  <si>
    <t>гостиница отпускные</t>
  </si>
  <si>
    <t>Фонд социального страхования - 2,90%</t>
  </si>
  <si>
    <t>вакансии директор и зам</t>
  </si>
  <si>
    <t>Федеральный фонд обязательного медицинского страхования - 5,10%</t>
  </si>
  <si>
    <t>Итого</t>
  </si>
  <si>
    <t>В соответствии со статьей 24 Федерального закона от 24.07.98. № 125-ФЗ "Об обязательном социальном страховании от несчатных случаев на производстве и профессиональных заболеваний" и Уведомления Филиала № 14 Государственного учреждения-Красноярского регионального отделения Фонда социального страхования РФ "О размере страховых взносов на обязательное социальное страхование от несчастных случаев на производстве и профессиональных заболеваний" Предприятию определен 8 класс профессионального риска, что соответствует страховому тарифу в размере 0,90%.</t>
  </si>
  <si>
    <t>Раздел 4. Расходы на оплату труда = Раздел 3 ст. 4. Затраты на оплату труда</t>
  </si>
  <si>
    <t>Раздел 4. Расходы на оплату труда = Раздел 3 ст. 5. Отчисления с заработной платы</t>
  </si>
  <si>
    <t>1 кв.</t>
  </si>
  <si>
    <t>2 кв.</t>
  </si>
  <si>
    <t>3 кв.</t>
  </si>
  <si>
    <t>4 кв.</t>
  </si>
  <si>
    <t>янв</t>
  </si>
  <si>
    <t>фев</t>
  </si>
  <si>
    <t>апр</t>
  </si>
  <si>
    <t>авг</t>
  </si>
  <si>
    <t>сент</t>
  </si>
  <si>
    <t>окт</t>
  </si>
  <si>
    <t>ноя</t>
  </si>
  <si>
    <t>дек</t>
  </si>
  <si>
    <t>Административно-управленческий персонал</t>
  </si>
  <si>
    <t>Основной производственный персонал</t>
  </si>
  <si>
    <t>Вспомогательный производственный персонал</t>
  </si>
  <si>
    <t>Итого по муниципальному предприятию</t>
  </si>
  <si>
    <t>факт 2018 год</t>
  </si>
  <si>
    <t>зп</t>
  </si>
  <si>
    <t>премии</t>
  </si>
  <si>
    <t>б/лист</t>
  </si>
  <si>
    <t>январь</t>
  </si>
  <si>
    <t>февраль</t>
  </si>
  <si>
    <t>МП "Таймыр"</t>
  </si>
  <si>
    <t>№№ п/п</t>
  </si>
  <si>
    <t>Ф.И.О. работника</t>
  </si>
  <si>
    <t>Ф.И.О. контакта</t>
  </si>
  <si>
    <t>Степень родства</t>
  </si>
  <si>
    <t>Дата рождения</t>
  </si>
  <si>
    <t>планируемый год</t>
  </si>
  <si>
    <t>Возраст ребенка на 31.12.19.</t>
  </si>
  <si>
    <t>Красовская Агата Викторовна</t>
  </si>
  <si>
    <t>дочь</t>
  </si>
  <si>
    <t>Дудинка</t>
  </si>
  <si>
    <t>Красовский Матвей Викторович</t>
  </si>
  <si>
    <t>сын</t>
  </si>
  <si>
    <t>Махаева Марина Петровна</t>
  </si>
  <si>
    <t>Даниил</t>
  </si>
  <si>
    <t>Паращин Антонина Николаевна</t>
  </si>
  <si>
    <t>Яна</t>
  </si>
  <si>
    <t>Новикова Мадина Батырхановна</t>
  </si>
  <si>
    <t>Лашкин Дмитрий Александрович</t>
  </si>
  <si>
    <t>Новикова Мия Николаевна</t>
  </si>
  <si>
    <t>Новиков Никита Николаевич</t>
  </si>
  <si>
    <t>Денисова Ирина Александровна</t>
  </si>
  <si>
    <t>Денисов Александр Сергеевич</t>
  </si>
  <si>
    <t>Денисова Полина Сергеевна</t>
  </si>
  <si>
    <t>Жеребьев Павел Дмитриевич</t>
  </si>
  <si>
    <t>Баландин Артем Артем Алексеевич</t>
  </si>
  <si>
    <t>Вдовин Дмитрий Александрович</t>
  </si>
  <si>
    <t>Вдовина Анна Дмитриевна</t>
  </si>
  <si>
    <t>Норильск</t>
  </si>
  <si>
    <t>Вдовин Александр Дмитриевич</t>
  </si>
  <si>
    <t>Волков Сергей Анатольвеич</t>
  </si>
  <si>
    <t>Волков Константин Сергеевич</t>
  </si>
  <si>
    <t>Калько Юлия Вячеславовна</t>
  </si>
  <si>
    <t>Калько Елизавета Романовна</t>
  </si>
  <si>
    <t>Мосин Максим Александрович</t>
  </si>
  <si>
    <t>Фриптуляк Алиса Алексеевна</t>
  </si>
  <si>
    <t>Степанов Александр Александрович</t>
  </si>
  <si>
    <t>Степанова Элина Евгеньевна</t>
  </si>
  <si>
    <t>Середина О.В.</t>
  </si>
  <si>
    <t>Платонова Полина</t>
  </si>
  <si>
    <t>Середина Кира</t>
  </si>
  <si>
    <t>Игнатова Н.В.</t>
  </si>
  <si>
    <t>Осипова Соня</t>
  </si>
  <si>
    <t>Коломажина М.В.</t>
  </si>
  <si>
    <t>Коломажин Илья</t>
  </si>
  <si>
    <t>Варфоломеева Ю.В.</t>
  </si>
  <si>
    <t>Варфоломеев Дмитрий</t>
  </si>
  <si>
    <t>Евтушенко М.И.</t>
  </si>
  <si>
    <t>Евтушенко Дарья</t>
  </si>
  <si>
    <t>Лысаковска Е.В.</t>
  </si>
  <si>
    <t>Лысаковский Александр</t>
  </si>
  <si>
    <t>Васильева</t>
  </si>
  <si>
    <t>Всего, количество детей:</t>
  </si>
  <si>
    <t>Согласно п.7.2.1.4. Положения "Об оплате труда и выплат за счет прибыли предприятия" (Редакция 2) утвержденного приказом Директора МП "Таймыр" от 15.02.18. № 10 - Предприятие выделяет средства на приобретение новогодних подарков для детей Работников из расчета не менее 1 500,00 рублей за подарок на каждого ребенка (с нуля лет и не достигшего 17 лет на 31 декабря). В случае если оба родителя являются Работниками Предприятия, новогодний подарок для ребенка предоставляется одному из родителей.</t>
  </si>
  <si>
    <t>Новогоднии подарки</t>
  </si>
  <si>
    <t>НДС с новогодних подарков</t>
  </si>
  <si>
    <t>Федеральным законом от 03.08.2018 г. №303-ФЗ "О внесении изменений в отдельные законодательные акты РФ о налогах и сборах" предусматривает повышение размера ставки НДС с 01.01.2019 г. с 18% до 20%.</t>
  </si>
  <si>
    <t>Расчет расходов МП "Таймыр" в 2017 году: питание членов экипажей теплоходов во время рейсов</t>
  </si>
  <si>
    <t>Российский Речной регистр</t>
  </si>
  <si>
    <t>Судно "Байкал"</t>
  </si>
  <si>
    <t>Судно "Егерь Николаев"</t>
  </si>
  <si>
    <t>Судно "Ленинград"</t>
  </si>
  <si>
    <t>Судно "Заполярье"</t>
  </si>
  <si>
    <t>несамоходная, баржа-площадка "Новая", "Волока", "Бырранга", "БНП-2", "Лозьева"</t>
  </si>
  <si>
    <t>Наименование теплохода</t>
  </si>
  <si>
    <t>Численность экипажа судов</t>
  </si>
  <si>
    <t>Грузоподъемность 1 баржи</t>
  </si>
  <si>
    <t>ИТОГО ПИТАНИЕ 3 квартал</t>
  </si>
  <si>
    <t>п. Кресты</t>
  </si>
  <si>
    <t>п. Усть-Тарея</t>
  </si>
  <si>
    <t>Общие сведения</t>
  </si>
  <si>
    <t>количество рейсов с учетом загруженности в 1 баржу</t>
  </si>
  <si>
    <t>количество дней в рейсе</t>
  </si>
  <si>
    <t>питание 14000 руб за 1 рейс*кол-во рейсов гр.5</t>
  </si>
  <si>
    <t>регистрационный №</t>
  </si>
  <si>
    <t>16-0359</t>
  </si>
  <si>
    <t>16-0361</t>
  </si>
  <si>
    <t>не являются нефтеналивными</t>
  </si>
  <si>
    <t xml:space="preserve">нефтеналивные (в кормовой части судна установлена топливная емкость (цистерна) </t>
  </si>
  <si>
    <t>тип и назначение</t>
  </si>
  <si>
    <t>самоходное, разъездной теплоход</t>
  </si>
  <si>
    <t>самоходное, буксирный теплоход</t>
  </si>
  <si>
    <t>буксирный теплоход</t>
  </si>
  <si>
    <t>Название судна</t>
  </si>
  <si>
    <t xml:space="preserve">Новая </t>
  </si>
  <si>
    <t>Волока</t>
  </si>
  <si>
    <t>Лозьева</t>
  </si>
  <si>
    <t>Бырранга</t>
  </si>
  <si>
    <t>БНП-2</t>
  </si>
  <si>
    <t>Автор и № проекта</t>
  </si>
  <si>
    <t>ЦКБ "Восток", проект № РМ-376</t>
  </si>
  <si>
    <t>ЦКБ "Восток", проект Р-376</t>
  </si>
  <si>
    <t>Год и место постройки</t>
  </si>
  <si>
    <t>1982, Сосновка п/я Г-4306</t>
  </si>
  <si>
    <t>1982, а/я Г-4306 г.Сосновка</t>
  </si>
  <si>
    <t>1980, г.Рыбинск</t>
  </si>
  <si>
    <t>несамоходная, баржа-площадка</t>
  </si>
  <si>
    <t>наливная, баржа-площадка</t>
  </si>
  <si>
    <t>V поставки</t>
  </si>
  <si>
    <t>Судовладелец</t>
  </si>
  <si>
    <t>НФ ЦТКБ МРФ, проект № 183 БМ</t>
  </si>
  <si>
    <t>КБ ОАО КСВ 0034/81212НП</t>
  </si>
  <si>
    <t>Место и дата освидетельствования</t>
  </si>
  <si>
    <t>г.Норильск,12.09.16.</t>
  </si>
  <si>
    <t>г.Норильск, 12.10.16.</t>
  </si>
  <si>
    <t>г.Красноярск 24.04.13.</t>
  </si>
  <si>
    <t>1989, г.Красноярск</t>
  </si>
  <si>
    <t>1980, г.Красноярск</t>
  </si>
  <si>
    <t>1970, г.Красноярск</t>
  </si>
  <si>
    <t>1983, Аральск-СРЗ, сборка г.Норильск</t>
  </si>
  <si>
    <t>2004, ОАО "Красноярская судоверфь"</t>
  </si>
  <si>
    <t>индекс роста 1,03</t>
  </si>
  <si>
    <t>Класс судна</t>
  </si>
  <si>
    <t>О 2.0</t>
  </si>
  <si>
    <t>Рмс 1.2.</t>
  </si>
  <si>
    <t>Валовая вместимость, куб.м.</t>
  </si>
  <si>
    <t>Норильск, 12.09.16.</t>
  </si>
  <si>
    <t>Норильск, 13.09.16.</t>
  </si>
  <si>
    <t>Норильск, 26.09.16.</t>
  </si>
  <si>
    <t>Грузоподъемность, т</t>
  </si>
  <si>
    <t>Р1,2</t>
  </si>
  <si>
    <t xml:space="preserve">Выписка с приказа МП "Таймыр" "О порядке обеспечения питанием экипажей речных судов"
</t>
  </si>
  <si>
    <t>2. Установить для членов экипажей трехразовое питание - при нахождении на судне в течение суток.</t>
  </si>
  <si>
    <t>Пассажиров</t>
  </si>
  <si>
    <t>нет</t>
  </si>
  <si>
    <t>мах кол-во людей на борту:</t>
  </si>
  <si>
    <t>мах кол-во людей на ботру</t>
  </si>
  <si>
    <t>Валовая вместимость, р.т.</t>
  </si>
  <si>
    <t>308,0 куб.м.</t>
  </si>
  <si>
    <t>Члены команды, включая спецперсонал</t>
  </si>
  <si>
    <t>мin состав экипажа</t>
  </si>
  <si>
    <t>мах состав экипажа</t>
  </si>
  <si>
    <t>Дедвейт, т *</t>
  </si>
  <si>
    <t xml:space="preserve">3. Установить размер сумм, выделяемых на экипаж для обеспечения рациона питания за время нахождения на судне  в течении 1 рейса исходя из стоимости нормы рациона питания на одного человека в сутки (400 руб.- согласно Приложения №1) – 14 000 рублей. </t>
  </si>
  <si>
    <t>Корпус</t>
  </si>
  <si>
    <t>С учетом на 2018 год Прогноз показателей инфляции в крае до 2021 года Дефляторы по видам экономической деятельности (Наименование отрасли: ИНДЕКСЫ ПОТРЕБИТЕЛЬСКИХ ЦЕН: 103,0 = 14000*1,03)</t>
  </si>
  <si>
    <t>Размеры судна расчетные, м:</t>
  </si>
  <si>
    <t>Районы и условия плавания</t>
  </si>
  <si>
    <t>Норило-Пясинская водная система,разряда "Р", при высоте волны до 1,2 метра и скорости ветра до 17 м/сек</t>
  </si>
  <si>
    <t>4. Наличные деньги (аванс) на закупку продуктов для обеспечения рационом питания экипажа выдаются капитану судна (подотчетному лицу). Капитан обеспечивает организацию питания экипажа судна.</t>
  </si>
  <si>
    <t>длина по КВЛ</t>
  </si>
  <si>
    <t xml:space="preserve">длина </t>
  </si>
  <si>
    <t>ширина по КВЛ</t>
  </si>
  <si>
    <t xml:space="preserve">ширина </t>
  </si>
  <si>
    <t>5. Не разрешается выдавать на руки членам экипажей судов продукты взамен установленного рациона питания, а также заменять его денежной компенсацией.</t>
  </si>
  <si>
    <t>высота борта</t>
  </si>
  <si>
    <t>Размеры судна габаритные, м:</t>
  </si>
  <si>
    <t xml:space="preserve">план перевозок: </t>
  </si>
  <si>
    <t>длина</t>
  </si>
  <si>
    <t>ширина</t>
  </si>
  <si>
    <t>п.Усть-Авам</t>
  </si>
  <si>
    <t>п.Кресты</t>
  </si>
  <si>
    <t>высота от ОП до верхней кромки несъемных частей</t>
  </si>
  <si>
    <t>осадка максимальная</t>
  </si>
  <si>
    <t>Надводный борт, м, в бассейнах разряда:</t>
  </si>
  <si>
    <t>"М"</t>
  </si>
  <si>
    <t>"О"</t>
  </si>
  <si>
    <t>680 км</t>
  </si>
  <si>
    <t>п.Усть-Тарея</t>
  </si>
  <si>
    <t>Штатная численность утвержденная на 2018 г.</t>
  </si>
  <si>
    <t>"Р"</t>
  </si>
  <si>
    <t>"Л"</t>
  </si>
  <si>
    <t>Надстройка</t>
  </si>
  <si>
    <t>Сигнальные средства</t>
  </si>
  <si>
    <t>430 км</t>
  </si>
  <si>
    <t>Кол-во ярусов</t>
  </si>
  <si>
    <t>Сигнально-отличительные фонари: шт:</t>
  </si>
  <si>
    <t>Главные двигатели</t>
  </si>
  <si>
    <t>топовые, белый</t>
  </si>
  <si>
    <t>круговые белый 2 шт, красный 1 шт., сигнальный флаг "Б"</t>
  </si>
  <si>
    <t>Итого численность</t>
  </si>
  <si>
    <t>Тип</t>
  </si>
  <si>
    <t xml:space="preserve">12ЧСП 15/18 </t>
  </si>
  <si>
    <t>Якорное утройство (носовое)</t>
  </si>
  <si>
    <t>460 км</t>
  </si>
  <si>
    <t>о-в Ермолаев</t>
  </si>
  <si>
    <t>Итого судов</t>
  </si>
  <si>
    <t>Марка</t>
  </si>
  <si>
    <t>3Д12</t>
  </si>
  <si>
    <t>ЯМЗ-240НС</t>
  </si>
  <si>
    <t>левый якорь/правый якорь</t>
  </si>
  <si>
    <t>правый якорь</t>
  </si>
  <si>
    <t>Итого состав экипажа</t>
  </si>
  <si>
    <t xml:space="preserve">Кол-во </t>
  </si>
  <si>
    <t>Тип, марка якорного механизма</t>
  </si>
  <si>
    <t xml:space="preserve">Ручной шпиль / </t>
  </si>
  <si>
    <t>ШР-7</t>
  </si>
  <si>
    <t>250 км</t>
  </si>
  <si>
    <t>Мощность одного, Квт.</t>
  </si>
  <si>
    <t>Тип якорей</t>
  </si>
  <si>
    <t>Матросова / Матросова</t>
  </si>
  <si>
    <t>Матросова</t>
  </si>
  <si>
    <t xml:space="preserve">средняя скорость теплохода </t>
  </si>
  <si>
    <t>км/ч</t>
  </si>
  <si>
    <t>(ед.изм скорости узлы или миля)</t>
  </si>
  <si>
    <t>Частота вращения, с(-1)</t>
  </si>
  <si>
    <t>Масса якорей, кг</t>
  </si>
  <si>
    <t>150 / 150</t>
  </si>
  <si>
    <t>Кол-во дней на 1 рейс</t>
  </si>
  <si>
    <t xml:space="preserve">ПРР, дни </t>
  </si>
  <si>
    <t xml:space="preserve"> форс мажор 2</t>
  </si>
  <si>
    <t>итого дней в рейсе</t>
  </si>
  <si>
    <t>Завод-изготовитель</t>
  </si>
  <si>
    <t>г.Барнаул, "Трансмаш"</t>
  </si>
  <si>
    <t>Длина цепей, м</t>
  </si>
  <si>
    <t>Валек-Усть-Тарея-Валек</t>
  </si>
  <si>
    <t>один рейс</t>
  </si>
  <si>
    <t>Заводской №</t>
  </si>
  <si>
    <t>8901К89930</t>
  </si>
  <si>
    <t>9204К21392</t>
  </si>
  <si>
    <t>Калибр цепей, мм</t>
  </si>
  <si>
    <t>13 / 13</t>
  </si>
  <si>
    <t>Валек-Усть-Авам-Валек</t>
  </si>
  <si>
    <t>Тип дистанционного управления</t>
  </si>
  <si>
    <t>Ручное,штуртросовое</t>
  </si>
  <si>
    <t>Ручное, штуртросовое</t>
  </si>
  <si>
    <t>Конструкция цепей</t>
  </si>
  <si>
    <t>Без распорок / Без распорок</t>
  </si>
  <si>
    <t>с распорками</t>
  </si>
  <si>
    <t>Валек-Кресты-Валек</t>
  </si>
  <si>
    <t>Движители:</t>
  </si>
  <si>
    <t>Устройство дистанционной отдачи</t>
  </si>
  <si>
    <t xml:space="preserve">нет / нет </t>
  </si>
  <si>
    <t xml:space="preserve">нет </t>
  </si>
  <si>
    <t>тип</t>
  </si>
  <si>
    <t xml:space="preserve">ВФШ (винт фиксированного шага) </t>
  </si>
  <si>
    <t>Швартовое устройство</t>
  </si>
  <si>
    <t>Например рейс до Усть-Тарея (с учетом 5-ти дневной  рабочей недели): 1-я рабочая неделя в рейсе: маршрут Валек Усть-Тарея 3 дня + 2 дня ручная ПРРабота + 2 дня выходных; 2-я рабочая неделя в рейсе: 4 дня ручная ПРР + маршрут Усть-Тарея - Валек 1 день + 2 дня выходных + 2 дня маршрут Усть-Тарея-Валек + 2 форс мажор (авральные и аварийные работы)</t>
  </si>
  <si>
    <t>кол-во</t>
  </si>
  <si>
    <t>Количество,тип,диаметр/окружность швартовых канатов</t>
  </si>
  <si>
    <t>4, кнехта, диам. 100 мм (буксирный кнехт в носу)</t>
  </si>
  <si>
    <t>даметр каната 50 мм, длина 75 метров (ПС 2060 КТЭКС ПВ, канат ПС2060 КТЭКС ПВ окружность 125 мм, длина 75 м</t>
  </si>
  <si>
    <t>Частота вращения, Об/мин</t>
  </si>
  <si>
    <t>Тип, марка швартовых механизмов</t>
  </si>
  <si>
    <t>буксирный кнехт</t>
  </si>
  <si>
    <t>Системы</t>
  </si>
  <si>
    <t>Противопожарные системы, оборудование и снабжение</t>
  </si>
  <si>
    <t>Осушительная:</t>
  </si>
  <si>
    <t>Покрывало пожарное "Пирант"  1,5х2 м, шт</t>
  </si>
  <si>
    <t>НР-1,25/30</t>
  </si>
  <si>
    <t>Ведра, шт</t>
  </si>
  <si>
    <t>насосы,кол-во</t>
  </si>
  <si>
    <t>Электрическое оборудование</t>
  </si>
  <si>
    <t>рабочее давление, мПа</t>
  </si>
  <si>
    <t>Род тока</t>
  </si>
  <si>
    <t>постоянный</t>
  </si>
  <si>
    <t>подача, л/мин</t>
  </si>
  <si>
    <t>напряжение, В</t>
  </si>
  <si>
    <t>Пожарная:</t>
  </si>
  <si>
    <t>Питание (с берега, с толкача)</t>
  </si>
  <si>
    <t>280/127в</t>
  </si>
  <si>
    <t>ВК-4/24</t>
  </si>
  <si>
    <t>Аккумуляторные батареи: тип,марка</t>
  </si>
  <si>
    <t>"Лиман" 2х2</t>
  </si>
  <si>
    <t>емкость, А*ч</t>
  </si>
  <si>
    <t>Рулевое устройство</t>
  </si>
  <si>
    <t>*величина, равная сумме масс переменных грузов судна, измеряемая в тоннах, то есть сумма массы полезного груза, перевозимого судном, массы топлива, масла, технической и питьевой воды, массы пассажиров с багажом, экипажа и продовольствия.</t>
  </si>
  <si>
    <t>Кол-во, тип,марка рулевых машин</t>
  </si>
  <si>
    <t>РРШС, одна</t>
  </si>
  <si>
    <t xml:space="preserve">Ручной шпиль ШР-4 / </t>
  </si>
  <si>
    <t>система привода</t>
  </si>
  <si>
    <t>штуртросная</t>
  </si>
  <si>
    <t>кол-во,тип рулевых органов</t>
  </si>
  <si>
    <t>два по 0,72 кв.м. (800х900)мм, балансирный сварной обтекаемой формы</t>
  </si>
  <si>
    <t>50 / 50</t>
  </si>
  <si>
    <t>тип запасного привода</t>
  </si>
  <si>
    <t>румпель</t>
  </si>
  <si>
    <t>50 / 75</t>
  </si>
  <si>
    <t>диаметр баллера 90мм</t>
  </si>
  <si>
    <t>Тип, количество,длина,диаметр швартовых канатов</t>
  </si>
  <si>
    <t>Два, окр. 50 мм, 20 метров - 2 шт.</t>
  </si>
  <si>
    <t>Спасательные средства</t>
  </si>
  <si>
    <t>спасательные круги, шт</t>
  </si>
  <si>
    <t>спасательные жилеты, шт</t>
  </si>
  <si>
    <t>два, окр.50 мм, 20 метров-2шт.</t>
  </si>
  <si>
    <t>Сигнально-отличительные фонари:шт:</t>
  </si>
  <si>
    <t>бортовые, зеленый</t>
  </si>
  <si>
    <t>Буксирное устройство</t>
  </si>
  <si>
    <t>красный</t>
  </si>
  <si>
    <t>буксирный канат:</t>
  </si>
  <si>
    <t>Светоимпульсные отмашки: тип</t>
  </si>
  <si>
    <t>диаметр, мм</t>
  </si>
  <si>
    <t>Ракеты сигнала бедствий: тип РБ-40, шт</t>
  </si>
  <si>
    <t>длина, м</t>
  </si>
  <si>
    <t>Фальшфейеры бедствия: тип Ф-1, шт</t>
  </si>
  <si>
    <t>Системы водотушения</t>
  </si>
  <si>
    <t>насосы:</t>
  </si>
  <si>
    <t>тип ВК-4/24, шт.</t>
  </si>
  <si>
    <t>давление,Мпа</t>
  </si>
  <si>
    <t xml:space="preserve"> тип ВК-4/24, шт.</t>
  </si>
  <si>
    <t>Подача, куб.м./ч</t>
  </si>
  <si>
    <t>Пожарные рукава, шт</t>
  </si>
  <si>
    <t>Ручные пожарные стволы,шт</t>
  </si>
  <si>
    <t>кормовой, белый</t>
  </si>
  <si>
    <t>Ящики с песком и совковой лопатой, шт</t>
  </si>
  <si>
    <t>1 вместимость 0,1 куб.м.</t>
  </si>
  <si>
    <t>буксировочный желтый</t>
  </si>
  <si>
    <t>Покрывала из войлока размером 1,5S2 м, шт</t>
  </si>
  <si>
    <t>круговые белый</t>
  </si>
  <si>
    <t>Комплекты пожарного инструмента (топор,лом,багор), шт</t>
  </si>
  <si>
    <t>Звуковые сигнальные средства:</t>
  </si>
  <si>
    <t>Навигационное оборудование и снабжение</t>
  </si>
  <si>
    <t>сирена, шт</t>
  </si>
  <si>
    <t>Соот-ет Правилам для судов 2 категории класса "О"</t>
  </si>
  <si>
    <t>колокол, шт</t>
  </si>
  <si>
    <t>Аварийное снабжение</t>
  </si>
  <si>
    <t>Соот-ет требованиям для судов "О" группы 5</t>
  </si>
  <si>
    <t>Генераторы электростанции: марки</t>
  </si>
  <si>
    <t>Г-732</t>
  </si>
  <si>
    <t>количество</t>
  </si>
  <si>
    <t>суммарная мощность, кВт</t>
  </si>
  <si>
    <t>Аварийная аккумуляторная батарея:марка</t>
  </si>
  <si>
    <t>6СТ132</t>
  </si>
  <si>
    <t>Огнетушители, углекислотные, шт</t>
  </si>
  <si>
    <t>Средства радиосвязи</t>
  </si>
  <si>
    <t>1 вместимость 0,05 куб.м.</t>
  </si>
  <si>
    <t>Тип главной УКВ-радиотелефонной станции (300,025-300,225 МГц) дециметровых волн</t>
  </si>
  <si>
    <t>GP-350</t>
  </si>
  <si>
    <t xml:space="preserve">Тип эксплуатационной УКВ-радиотелефонной станции (300,025-300,225, 336,025-336,500 МГц) </t>
  </si>
  <si>
    <t>Лен</t>
  </si>
  <si>
    <t>Свидетельство о годности к плаванию от 14.09.07.</t>
  </si>
  <si>
    <t xml:space="preserve">Свидетельство о годности к плаванию от </t>
  </si>
  <si>
    <t>Свидетельство о годности к плаванию от</t>
  </si>
  <si>
    <t>1.2.1.</t>
  </si>
  <si>
    <t>1.2.2.</t>
  </si>
  <si>
    <t>2.2.1.</t>
  </si>
  <si>
    <t>2.2.2.</t>
  </si>
  <si>
    <t>аренда помещений</t>
  </si>
  <si>
    <t>услуги по хранению</t>
  </si>
  <si>
    <t>198 816 520</t>
  </si>
  <si>
    <t>План</t>
  </si>
  <si>
    <t xml:space="preserve">                               Приложение 1 к постановлению</t>
  </si>
  <si>
    <t xml:space="preserve">                               Администрации муниципального района</t>
  </si>
  <si>
    <t>Приложение 2 к постановлению</t>
  </si>
  <si>
    <t>Администрации муниципального района</t>
  </si>
  <si>
    <t xml:space="preserve">                               от 06.12.2024 № 1615           </t>
  </si>
  <si>
    <t xml:space="preserve">от 06.12.2024 № 1615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</si>
</sst>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"/>
    <numFmt numFmtId="165" formatCode="#\ ##0.00"/>
    <numFmt numFmtId="166" formatCode="dd\.mm\.yyyy"/>
    <numFmt numFmtId="167" formatCode="#\ ##0.00_ ;[Red]\-#\ ##0.00\ "/>
    <numFmt numFmtId="168" formatCode="dd\.mmm"/>
    <numFmt numFmtId="169" formatCode="0.0000000000"/>
    <numFmt numFmtId="170" formatCode="#\ ##0.00000"/>
    <numFmt numFmtId="171" formatCode="#\ ##0.0"/>
    <numFmt numFmtId="172" formatCode="0.0"/>
    <numFmt numFmtId="173" formatCode="mmm\.yy"/>
    <numFmt numFmtId="174" formatCode="0.000"/>
  </numFmts>
  <fonts count="57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70C0"/>
      <name val="Arial"/>
      <family val="2"/>
      <charset val="204"/>
    </font>
    <font>
      <i/>
      <sz val="9"/>
      <name val="Arial"/>
      <family val="2"/>
      <charset val="204"/>
    </font>
    <font>
      <i/>
      <sz val="9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1"/>
      <color rgb="FF222222"/>
      <name val="Arial"/>
      <family val="2"/>
      <charset val="204"/>
    </font>
    <font>
      <sz val="10"/>
      <color rgb="FFFF0000"/>
      <name val="Arial"/>
      <family val="2"/>
      <charset val="204"/>
    </font>
    <font>
      <i/>
      <sz val="10"/>
      <color rgb="FFFF0000"/>
      <name val="Arial"/>
      <family val="2"/>
      <charset val="204"/>
    </font>
    <font>
      <i/>
      <sz val="9"/>
      <color rgb="FFFF0000"/>
      <name val="Arial"/>
      <family val="2"/>
      <charset val="204"/>
    </font>
    <font>
      <sz val="9"/>
      <color rgb="FFFF0000"/>
      <name val="Arial"/>
      <family val="2"/>
      <charset val="204"/>
    </font>
    <font>
      <i/>
      <sz val="9"/>
      <color rgb="FF000000"/>
      <name val="Calibri"/>
      <family val="2"/>
      <charset val="204"/>
    </font>
    <font>
      <i/>
      <sz val="9"/>
      <color rgb="FFFF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9"/>
      <name val="Tahoma"/>
      <family val="2"/>
      <charset val="204"/>
    </font>
    <font>
      <sz val="9"/>
      <name val="Tahoma"/>
      <family val="2"/>
      <charset val="204"/>
    </font>
    <font>
      <sz val="11"/>
      <color theme="1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4" tint="0.79992065187536243"/>
        <bgColor indexed="65"/>
      </patternFill>
    </fill>
    <fill>
      <patternFill patternType="solid">
        <fgColor rgb="FFFFFF00"/>
      </patternFill>
    </fill>
    <fill>
      <patternFill patternType="solid">
        <fgColor theme="9" tint="0.79992065187536243"/>
        <bgColor indexed="65"/>
      </patternFill>
    </fill>
    <fill>
      <patternFill patternType="solid">
        <fgColor rgb="FF92D050"/>
      </patternFill>
    </fill>
    <fill>
      <patternFill patternType="solid">
        <fgColor theme="0"/>
      </patternFill>
    </fill>
    <fill>
      <patternFill patternType="solid">
        <fgColor theme="8" tint="0.79992065187536243"/>
        <bgColor indexed="65"/>
      </patternFill>
    </fill>
    <fill>
      <patternFill patternType="solid">
        <fgColor theme="0" tint="-0.14993743705557422"/>
        <bgColor indexed="65"/>
      </patternFill>
    </fill>
    <fill>
      <patternFill patternType="solid">
        <fgColor theme="6" tint="0.79992065187536243"/>
        <bgColor indexed="65"/>
      </patternFill>
    </fill>
    <fill>
      <patternFill patternType="solid">
        <fgColor theme="5" tint="0.79992065187536243"/>
        <bgColor indexed="65"/>
      </patternFill>
    </fill>
    <fill>
      <patternFill patternType="solid">
        <fgColor rgb="FFFFFF99"/>
      </patternFill>
    </fill>
    <fill>
      <patternFill patternType="solid">
        <fgColor rgb="FFCCFFCC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4"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7" fontId="2" fillId="0" borderId="1" xfId="0" applyNumberFormat="1" applyFont="1" applyBorder="1" applyAlignment="1">
      <alignment horizontal="right" vertical="center" indent="1"/>
    </xf>
    <xf numFmtId="2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right" vertical="center" wrapText="1" indent="1"/>
    </xf>
    <xf numFmtId="168" fontId="2" fillId="0" borderId="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right" vertical="center" inden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vertical="center" wrapText="1"/>
    </xf>
    <xf numFmtId="165" fontId="2" fillId="0" borderId="0" xfId="0" applyNumberFormat="1" applyFont="1" applyAlignment="1">
      <alignment horizontal="right" vertical="center" indent="1"/>
    </xf>
    <xf numFmtId="49" fontId="2" fillId="0" borderId="1" xfId="0" applyNumberFormat="1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 indent="1"/>
    </xf>
    <xf numFmtId="2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justify" vertical="center" wrapText="1"/>
    </xf>
    <xf numFmtId="16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center"/>
    </xf>
    <xf numFmtId="167" fontId="2" fillId="0" borderId="0" xfId="0" applyNumberFormat="1" applyFont="1" applyAlignment="1">
      <alignment vertical="center"/>
    </xf>
    <xf numFmtId="0" fontId="2" fillId="0" borderId="0" xfId="0" applyFont="1" applyAlignment="1">
      <alignment horizontal="justify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165" fontId="2" fillId="0" borderId="9" xfId="0" applyNumberFormat="1" applyFont="1" applyBorder="1" applyAlignment="1">
      <alignment vertical="center"/>
    </xf>
    <xf numFmtId="165" fontId="2" fillId="0" borderId="13" xfId="0" applyNumberFormat="1" applyFont="1" applyBorder="1" applyAlignment="1">
      <alignment horizontal="right" vertical="center" wrapText="1" indent="1"/>
    </xf>
    <xf numFmtId="0" fontId="2" fillId="0" borderId="13" xfId="0" applyFont="1" applyBorder="1" applyAlignment="1">
      <alignment horizontal="left" vertical="center" wrapText="1"/>
    </xf>
    <xf numFmtId="165" fontId="2" fillId="0" borderId="13" xfId="0" applyNumberFormat="1" applyFont="1" applyBorder="1" applyAlignment="1">
      <alignment vertical="center"/>
    </xf>
    <xf numFmtId="0" fontId="2" fillId="0" borderId="13" xfId="0" applyFont="1" applyBorder="1" applyAlignment="1">
      <alignment horizontal="justify" vertical="center" wrapText="1"/>
    </xf>
    <xf numFmtId="0" fontId="2" fillId="0" borderId="1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0" fontId="2" fillId="0" borderId="11" xfId="0" applyFont="1" applyBorder="1" applyAlignment="1">
      <alignment vertical="center" wrapText="1"/>
    </xf>
    <xf numFmtId="0" fontId="7" fillId="0" borderId="0" xfId="0" applyFont="1"/>
    <xf numFmtId="165" fontId="2" fillId="0" borderId="11" xfId="0" applyNumberFormat="1" applyFont="1" applyBorder="1" applyAlignment="1">
      <alignment horizontal="right" vertical="center" wrapText="1" indent="1"/>
    </xf>
    <xf numFmtId="0" fontId="1" fillId="0" borderId="1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5" fontId="10" fillId="0" borderId="1" xfId="0" applyNumberFormat="1" applyFont="1" applyBorder="1" applyAlignment="1">
      <alignment horizontal="right" vertical="center" wrapText="1" indent="1"/>
    </xf>
    <xf numFmtId="165" fontId="10" fillId="0" borderId="1" xfId="0" applyNumberFormat="1" applyFont="1" applyBorder="1" applyAlignment="1">
      <alignment vertical="center"/>
    </xf>
    <xf numFmtId="165" fontId="10" fillId="0" borderId="1" xfId="0" applyNumberFormat="1" applyFont="1" applyBorder="1" applyAlignment="1">
      <alignment horizontal="justify" vertical="center" wrapText="1"/>
    </xf>
    <xf numFmtId="0" fontId="8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65" fontId="8" fillId="0" borderId="1" xfId="0" applyNumberFormat="1" applyFont="1" applyBorder="1" applyAlignment="1">
      <alignment horizontal="right" vertical="center" wrapText="1" indent="1"/>
    </xf>
    <xf numFmtId="0" fontId="10" fillId="0" borderId="16" xfId="0" applyFont="1" applyBorder="1" applyAlignment="1">
      <alignment horizontal="left" vertical="top" wrapText="1"/>
    </xf>
    <xf numFmtId="165" fontId="8" fillId="0" borderId="1" xfId="0" applyNumberFormat="1" applyFont="1" applyBorder="1" applyAlignment="1">
      <alignment vertical="center"/>
    </xf>
    <xf numFmtId="165" fontId="8" fillId="0" borderId="1" xfId="0" applyNumberFormat="1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justify" vertical="center" wrapText="1"/>
    </xf>
    <xf numFmtId="0" fontId="10" fillId="0" borderId="10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165" fontId="5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165" fontId="12" fillId="0" borderId="0" xfId="0" applyNumberFormat="1" applyFont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66" fontId="12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justify" vertical="center" wrapText="1"/>
    </xf>
    <xf numFmtId="0" fontId="15" fillId="0" borderId="0" xfId="0" applyFont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9" fillId="0" borderId="0" xfId="0" applyFont="1"/>
    <xf numFmtId="0" fontId="15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textRotation="90" wrapText="1"/>
    </xf>
    <xf numFmtId="49" fontId="21" fillId="0" borderId="1" xfId="0" applyNumberFormat="1" applyFont="1" applyBorder="1" applyAlignment="1">
      <alignment horizontal="center" vertical="center" textRotation="90" wrapText="1"/>
    </xf>
    <xf numFmtId="0" fontId="23" fillId="0" borderId="1" xfId="0" applyFont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vertical="center"/>
    </xf>
    <xf numFmtId="0" fontId="18" fillId="3" borderId="0" xfId="0" applyFont="1" applyFill="1" applyAlignment="1">
      <alignment vertical="center"/>
    </xf>
    <xf numFmtId="1" fontId="21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left" vertical="center" wrapText="1"/>
    </xf>
    <xf numFmtId="0" fontId="25" fillId="3" borderId="1" xfId="0" applyFont="1" applyFill="1" applyBorder="1" applyAlignment="1">
      <alignment horizontal="left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165" fontId="26" fillId="2" borderId="1" xfId="0" applyNumberFormat="1" applyFont="1" applyFill="1" applyBorder="1" applyAlignment="1">
      <alignment horizontal="center" vertical="center"/>
    </xf>
    <xf numFmtId="165" fontId="18" fillId="2" borderId="1" xfId="0" applyNumberFormat="1" applyFont="1" applyFill="1" applyBorder="1" applyAlignment="1">
      <alignment vertical="center"/>
    </xf>
    <xf numFmtId="0" fontId="27" fillId="3" borderId="0" xfId="0" applyFont="1" applyFill="1" applyAlignment="1">
      <alignment vertical="center"/>
    </xf>
    <xf numFmtId="0" fontId="27" fillId="0" borderId="0" xfId="0" applyFont="1" applyAlignment="1">
      <alignment vertical="center"/>
    </xf>
    <xf numFmtId="0" fontId="21" fillId="3" borderId="1" xfId="0" applyFont="1" applyFill="1" applyBorder="1" applyAlignment="1">
      <alignment horizontal="center" wrapText="1"/>
    </xf>
    <xf numFmtId="0" fontId="18" fillId="4" borderId="0" xfId="0" applyFont="1" applyFill="1" applyAlignment="1">
      <alignment vertical="center"/>
    </xf>
    <xf numFmtId="1" fontId="21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49" fontId="21" fillId="4" borderId="1" xfId="0" applyNumberFormat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165" fontId="26" fillId="4" borderId="1" xfId="0" applyNumberFormat="1" applyFont="1" applyFill="1" applyBorder="1" applyAlignment="1">
      <alignment horizontal="center" vertical="center"/>
    </xf>
    <xf numFmtId="165" fontId="18" fillId="4" borderId="1" xfId="0" applyNumberFormat="1" applyFont="1" applyFill="1" applyBorder="1" applyAlignment="1">
      <alignment vertical="center"/>
    </xf>
    <xf numFmtId="1" fontId="21" fillId="5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49" fontId="21" fillId="5" borderId="1" xfId="0" applyNumberFormat="1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/>
    </xf>
    <xf numFmtId="0" fontId="27" fillId="6" borderId="0" xfId="0" applyFont="1" applyFill="1" applyAlignment="1">
      <alignment vertical="center"/>
    </xf>
    <xf numFmtId="0" fontId="25" fillId="4" borderId="1" xfId="0" applyFont="1" applyFill="1" applyBorder="1" applyAlignment="1">
      <alignment horizontal="justify" vertical="center" wrapText="1"/>
    </xf>
    <xf numFmtId="0" fontId="18" fillId="4" borderId="1" xfId="0" applyFont="1" applyFill="1" applyBorder="1" applyAlignment="1">
      <alignment vertical="center"/>
    </xf>
    <xf numFmtId="0" fontId="18" fillId="7" borderId="0" xfId="0" applyFont="1" applyFill="1" applyAlignment="1">
      <alignment vertical="center"/>
    </xf>
    <xf numFmtId="1" fontId="21" fillId="7" borderId="1" xfId="0" applyNumberFormat="1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left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1" fillId="7" borderId="1" xfId="0" applyFont="1" applyFill="1" applyBorder="1" applyAlignment="1">
      <alignment horizontal="center" vertical="center" wrapText="1"/>
    </xf>
    <xf numFmtId="49" fontId="21" fillId="7" borderId="1" xfId="0" applyNumberFormat="1" applyFont="1" applyFill="1" applyBorder="1" applyAlignment="1">
      <alignment horizontal="center" vertical="center" wrapText="1"/>
    </xf>
    <xf numFmtId="0" fontId="26" fillId="7" borderId="1" xfId="0" applyFont="1" applyFill="1" applyBorder="1" applyAlignment="1">
      <alignment horizontal="center" vertical="center"/>
    </xf>
    <xf numFmtId="165" fontId="26" fillId="7" borderId="1" xfId="0" applyNumberFormat="1" applyFont="1" applyFill="1" applyBorder="1" applyAlignment="1">
      <alignment horizontal="center" vertical="center"/>
    </xf>
    <xf numFmtId="165" fontId="18" fillId="7" borderId="1" xfId="0" applyNumberFormat="1" applyFont="1" applyFill="1" applyBorder="1" applyAlignment="1">
      <alignment vertical="center"/>
    </xf>
    <xf numFmtId="0" fontId="18" fillId="5" borderId="0" xfId="0" applyFont="1" applyFill="1" applyAlignment="1">
      <alignment vertical="center"/>
    </xf>
    <xf numFmtId="0" fontId="21" fillId="8" borderId="1" xfId="0" applyFont="1" applyFill="1" applyBorder="1" applyAlignment="1">
      <alignment vertical="center" wrapText="1"/>
    </xf>
    <xf numFmtId="0" fontId="21" fillId="8" borderId="1" xfId="0" applyFont="1" applyFill="1" applyBorder="1" applyAlignment="1">
      <alignment horizontal="center" vertical="center" wrapText="1"/>
    </xf>
    <xf numFmtId="49" fontId="21" fillId="8" borderId="1" xfId="0" applyNumberFormat="1" applyFont="1" applyFill="1" applyBorder="1" applyAlignment="1">
      <alignment horizontal="center" vertical="center" wrapText="1"/>
    </xf>
    <xf numFmtId="165" fontId="21" fillId="8" borderId="1" xfId="0" applyNumberFormat="1" applyFont="1" applyFill="1" applyBorder="1" applyAlignment="1">
      <alignment vertical="center"/>
    </xf>
    <xf numFmtId="165" fontId="21" fillId="2" borderId="1" xfId="0" applyNumberFormat="1" applyFont="1" applyFill="1" applyBorder="1" applyAlignment="1">
      <alignment vertical="center"/>
    </xf>
    <xf numFmtId="0" fontId="21" fillId="8" borderId="11" xfId="0" applyFont="1" applyFill="1" applyBorder="1" applyAlignment="1">
      <alignment vertical="center"/>
    </xf>
    <xf numFmtId="0" fontId="21" fillId="8" borderId="1" xfId="0" applyFont="1" applyFill="1" applyBorder="1" applyAlignment="1">
      <alignment horizontal="left" vertical="center" wrapText="1"/>
    </xf>
    <xf numFmtId="0" fontId="18" fillId="8" borderId="1" xfId="0" applyFont="1" applyFill="1" applyBorder="1" applyAlignment="1">
      <alignment vertical="center"/>
    </xf>
    <xf numFmtId="0" fontId="21" fillId="8" borderId="1" xfId="0" applyFont="1" applyFill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6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8" fillId="7" borderId="0" xfId="0" applyFont="1" applyFill="1" applyAlignment="1">
      <alignment horizontal="left" vertical="center"/>
    </xf>
    <xf numFmtId="0" fontId="18" fillId="0" borderId="0" xfId="0" applyFont="1" applyAlignment="1">
      <alignment horizontal="justify" vertical="top" wrapText="1"/>
    </xf>
    <xf numFmtId="0" fontId="18" fillId="0" borderId="0" xfId="0" applyFont="1" applyAlignment="1">
      <alignment horizontal="justify" vertical="top"/>
    </xf>
    <xf numFmtId="0" fontId="18" fillId="0" borderId="0" xfId="0" applyFont="1" applyAlignment="1">
      <alignment horizontal="justify" vertical="center"/>
    </xf>
    <xf numFmtId="0" fontId="18" fillId="0" borderId="0" xfId="0" applyFont="1" applyAlignment="1">
      <alignment vertical="top"/>
    </xf>
    <xf numFmtId="0" fontId="27" fillId="0" borderId="0" xfId="0" applyFont="1" applyAlignment="1">
      <alignment horizontal="justify" vertical="center"/>
    </xf>
    <xf numFmtId="0" fontId="27" fillId="0" borderId="0" xfId="0" applyFont="1" applyAlignment="1">
      <alignment vertical="top" wrapText="1"/>
    </xf>
    <xf numFmtId="0" fontId="29" fillId="0" borderId="0" xfId="0" applyFont="1" applyAlignment="1">
      <alignment horizontal="justify" vertical="top"/>
    </xf>
    <xf numFmtId="0" fontId="29" fillId="0" borderId="0" xfId="0" applyFont="1" applyAlignment="1">
      <alignment horizontal="justify" vertical="top" wrapText="1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49" fontId="14" fillId="0" borderId="1" xfId="0" applyNumberFormat="1" applyFont="1" applyBorder="1"/>
    <xf numFmtId="0" fontId="14" fillId="0" borderId="1" xfId="0" applyFont="1" applyBorder="1" applyAlignment="1">
      <alignment wrapText="1"/>
    </xf>
    <xf numFmtId="165" fontId="14" fillId="0" borderId="1" xfId="0" applyNumberFormat="1" applyFont="1" applyBorder="1"/>
    <xf numFmtId="0" fontId="14" fillId="0" borderId="1" xfId="0" applyFont="1" applyBorder="1"/>
    <xf numFmtId="49" fontId="1" fillId="0" borderId="0" xfId="0" applyNumberFormat="1" applyFont="1"/>
    <xf numFmtId="0" fontId="1" fillId="8" borderId="0" xfId="0" applyFont="1" applyFill="1"/>
    <xf numFmtId="165" fontId="1" fillId="8" borderId="0" xfId="0" applyNumberFormat="1" applyFont="1" applyFill="1"/>
    <xf numFmtId="0" fontId="12" fillId="0" borderId="0" xfId="0" applyFont="1"/>
    <xf numFmtId="0" fontId="12" fillId="0" borderId="0" xfId="0" applyFont="1" applyAlignment="1">
      <alignment wrapText="1"/>
    </xf>
    <xf numFmtId="1" fontId="12" fillId="0" borderId="0" xfId="0" applyNumberFormat="1" applyFont="1" applyAlignment="1">
      <alignment horizontal="right"/>
    </xf>
    <xf numFmtId="165" fontId="12" fillId="0" borderId="0" xfId="0" applyNumberFormat="1" applyFont="1" applyAlignment="1">
      <alignment horizontal="right"/>
    </xf>
    <xf numFmtId="0" fontId="30" fillId="0" borderId="0" xfId="0" applyFont="1"/>
    <xf numFmtId="0" fontId="31" fillId="0" borderId="0" xfId="0" applyFont="1" applyAlignment="1">
      <alignment horizontal="center" wrapText="1"/>
    </xf>
    <xf numFmtId="165" fontId="30" fillId="0" borderId="0" xfId="0" applyNumberFormat="1" applyFont="1" applyAlignment="1">
      <alignment horizontal="center" wrapText="1"/>
    </xf>
    <xf numFmtId="165" fontId="30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left"/>
    </xf>
    <xf numFmtId="165" fontId="30" fillId="0" borderId="0" xfId="0" applyNumberFormat="1" applyFont="1" applyAlignment="1">
      <alignment horizontal="left"/>
    </xf>
    <xf numFmtId="2" fontId="30" fillId="0" borderId="0" xfId="0" applyNumberFormat="1" applyFont="1" applyAlignment="1">
      <alignment horizontal="left" wrapText="1"/>
    </xf>
    <xf numFmtId="1" fontId="12" fillId="0" borderId="0" xfId="0" applyNumberFormat="1" applyFont="1" applyAlignment="1">
      <alignment horizontal="right" wrapText="1"/>
    </xf>
    <xf numFmtId="165" fontId="12" fillId="0" borderId="0" xfId="0" applyNumberFormat="1" applyFont="1" applyAlignment="1">
      <alignment horizontal="right" wrapText="1"/>
    </xf>
    <xf numFmtId="0" fontId="30" fillId="0" borderId="0" xfId="0" applyFont="1" applyAlignment="1">
      <alignment horizontal="justify" wrapText="1"/>
    </xf>
    <xf numFmtId="0" fontId="13" fillId="0" borderId="0" xfId="0" applyFont="1"/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33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right" wrapText="1"/>
    </xf>
    <xf numFmtId="0" fontId="32" fillId="0" borderId="13" xfId="0" applyFont="1" applyBorder="1" applyAlignment="1">
      <alignment vertical="top" wrapText="1"/>
    </xf>
    <xf numFmtId="165" fontId="32" fillId="0" borderId="13" xfId="0" applyNumberFormat="1" applyFont="1" applyBorder="1" applyAlignment="1">
      <alignment vertical="top" wrapText="1"/>
    </xf>
    <xf numFmtId="1" fontId="30" fillId="2" borderId="1" xfId="0" applyNumberFormat="1" applyFont="1" applyFill="1" applyBorder="1" applyAlignment="1">
      <alignment horizontal="center" vertical="center" wrapText="1"/>
    </xf>
    <xf numFmtId="1" fontId="30" fillId="0" borderId="1" xfId="0" applyNumberFormat="1" applyFont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3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justify" wrapText="1"/>
    </xf>
    <xf numFmtId="49" fontId="25" fillId="0" borderId="13" xfId="0" applyNumberFormat="1" applyFont="1" applyBorder="1" applyAlignment="1">
      <alignment wrapText="1"/>
    </xf>
    <xf numFmtId="171" fontId="14" fillId="0" borderId="1" xfId="0" applyNumberFormat="1" applyFont="1" applyBorder="1" applyAlignment="1">
      <alignment horizontal="right" wrapText="1"/>
    </xf>
    <xf numFmtId="0" fontId="12" fillId="0" borderId="1" xfId="0" applyFont="1" applyBorder="1" applyAlignment="1">
      <alignment horizontal="right"/>
    </xf>
    <xf numFmtId="2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5" fontId="12" fillId="0" borderId="1" xfId="0" applyNumberFormat="1" applyFont="1" applyBorder="1" applyAlignment="1" applyProtection="1">
      <alignment horizontal="right" wrapText="1"/>
      <protection locked="0"/>
    </xf>
    <xf numFmtId="0" fontId="13" fillId="0" borderId="1" xfId="0" applyFont="1" applyBorder="1" applyAlignment="1">
      <alignment horizontal="right" wrapText="1"/>
    </xf>
    <xf numFmtId="165" fontId="13" fillId="0" borderId="1" xfId="0" applyNumberFormat="1" applyFont="1" applyBorder="1" applyAlignment="1">
      <alignment horizontal="right" wrapText="1"/>
    </xf>
    <xf numFmtId="165" fontId="12" fillId="0" borderId="1" xfId="0" applyNumberFormat="1" applyFont="1" applyBorder="1" applyAlignment="1">
      <alignment horizontal="right" wrapText="1"/>
    </xf>
    <xf numFmtId="49" fontId="24" fillId="0" borderId="1" xfId="0" applyNumberFormat="1" applyFont="1" applyBorder="1" applyAlignment="1">
      <alignment horizontal="justify" vertical="center" wrapText="1"/>
    </xf>
    <xf numFmtId="165" fontId="12" fillId="0" borderId="1" xfId="0" applyNumberFormat="1" applyFont="1" applyBorder="1"/>
    <xf numFmtId="0" fontId="13" fillId="0" borderId="1" xfId="0" applyFont="1" applyBorder="1"/>
    <xf numFmtId="165" fontId="13" fillId="0" borderId="0" xfId="0" applyNumberFormat="1" applyFont="1"/>
    <xf numFmtId="0" fontId="12" fillId="6" borderId="1" xfId="0" applyFont="1" applyFill="1" applyBorder="1" applyAlignment="1">
      <alignment horizontal="left" wrapText="1"/>
    </xf>
    <xf numFmtId="171" fontId="12" fillId="0" borderId="1" xfId="0" applyNumberFormat="1" applyFont="1" applyBorder="1" applyAlignment="1">
      <alignment horizontal="left" wrapText="1"/>
    </xf>
    <xf numFmtId="0" fontId="12" fillId="0" borderId="1" xfId="0" applyFont="1" applyBorder="1" applyAlignment="1">
      <alignment horizontal="right" wrapText="1"/>
    </xf>
    <xf numFmtId="164" fontId="12" fillId="0" borderId="1" xfId="0" applyNumberFormat="1" applyFont="1" applyBorder="1" applyAlignment="1">
      <alignment horizontal="right" wrapText="1"/>
    </xf>
    <xf numFmtId="0" fontId="31" fillId="0" borderId="1" xfId="0" applyFont="1" applyBorder="1" applyAlignment="1">
      <alignment horizontal="right" vertical="center" wrapText="1"/>
    </xf>
    <xf numFmtId="171" fontId="12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horizontal="justify"/>
    </xf>
    <xf numFmtId="0" fontId="12" fillId="0" borderId="1" xfId="0" applyFont="1" applyBorder="1"/>
    <xf numFmtId="171" fontId="12" fillId="0" borderId="13" xfId="0" applyNumberFormat="1" applyFont="1" applyBorder="1" applyAlignment="1">
      <alignment horizontal="left" wrapText="1"/>
    </xf>
    <xf numFmtId="165" fontId="12" fillId="0" borderId="13" xfId="0" applyNumberFormat="1" applyFont="1" applyBorder="1" applyAlignment="1">
      <alignment horizontal="right" wrapText="1"/>
    </xf>
    <xf numFmtId="0" fontId="24" fillId="0" borderId="13" xfId="0" applyFont="1" applyBorder="1" applyAlignment="1">
      <alignment horizontal="justify" vertical="top" wrapText="1"/>
    </xf>
    <xf numFmtId="1" fontId="12" fillId="0" borderId="13" xfId="0" applyNumberFormat="1" applyFont="1" applyBorder="1" applyAlignment="1">
      <alignment horizontal="right" wrapText="1"/>
    </xf>
    <xf numFmtId="171" fontId="12" fillId="0" borderId="1" xfId="0" applyNumberFormat="1" applyFont="1" applyBorder="1" applyAlignment="1">
      <alignment horizontal="justify" vertical="top" wrapText="1"/>
    </xf>
    <xf numFmtId="1" fontId="12" fillId="0" borderId="1" xfId="0" applyNumberFormat="1" applyFont="1" applyBorder="1" applyAlignment="1">
      <alignment horizontal="right"/>
    </xf>
    <xf numFmtId="49" fontId="24" fillId="0" borderId="13" xfId="0" applyNumberFormat="1" applyFont="1" applyBorder="1" applyAlignment="1">
      <alignment wrapText="1"/>
    </xf>
    <xf numFmtId="0" fontId="34" fillId="0" borderId="1" xfId="0" applyFont="1" applyBorder="1" applyAlignment="1">
      <alignment horizontal="left" vertical="center" wrapText="1"/>
    </xf>
    <xf numFmtId="0" fontId="14" fillId="0" borderId="13" xfId="0" applyFont="1" applyBorder="1" applyAlignment="1">
      <alignment wrapText="1"/>
    </xf>
    <xf numFmtId="49" fontId="24" fillId="0" borderId="13" xfId="0" applyNumberFormat="1" applyFont="1" applyBorder="1" applyAlignment="1">
      <alignment horizontal="justify" wrapText="1"/>
    </xf>
    <xf numFmtId="0" fontId="35" fillId="0" borderId="1" xfId="0" applyFont="1" applyBorder="1" applyAlignment="1">
      <alignment horizontal="right" vertical="center" wrapText="1"/>
    </xf>
    <xf numFmtId="49" fontId="12" fillId="0" borderId="1" xfId="0" applyNumberFormat="1" applyFont="1" applyBorder="1" applyAlignment="1">
      <alignment horizontal="justify" vertical="center" wrapText="1"/>
    </xf>
    <xf numFmtId="0" fontId="12" fillId="7" borderId="1" xfId="0" applyFont="1" applyFill="1" applyBorder="1" applyAlignment="1">
      <alignment horizontal="left" wrapText="1"/>
    </xf>
    <xf numFmtId="0" fontId="13" fillId="7" borderId="1" xfId="0" applyFont="1" applyFill="1" applyBorder="1" applyAlignment="1">
      <alignment vertical="center" wrapText="1"/>
    </xf>
    <xf numFmtId="0" fontId="13" fillId="7" borderId="1" xfId="0" applyFont="1" applyFill="1" applyBorder="1" applyAlignment="1">
      <alignment horizontal="left" vertical="center" wrapText="1"/>
    </xf>
    <xf numFmtId="172" fontId="13" fillId="7" borderId="1" xfId="0" applyNumberFormat="1" applyFont="1" applyFill="1" applyBorder="1" applyAlignment="1">
      <alignment horizontal="right" wrapText="1"/>
    </xf>
    <xf numFmtId="165" fontId="13" fillId="7" borderId="1" xfId="0" applyNumberFormat="1" applyFont="1" applyFill="1" applyBorder="1" applyAlignment="1">
      <alignment horizontal="right" wrapText="1"/>
    </xf>
    <xf numFmtId="0" fontId="13" fillId="7" borderId="1" xfId="0" applyFont="1" applyFill="1" applyBorder="1" applyAlignment="1">
      <alignment horizontal="right"/>
    </xf>
    <xf numFmtId="0" fontId="13" fillId="7" borderId="1" xfId="0" applyFont="1" applyFill="1" applyBorder="1" applyAlignment="1">
      <alignment horizontal="right" vertical="center"/>
    </xf>
    <xf numFmtId="1" fontId="12" fillId="7" borderId="1" xfId="0" applyNumberFormat="1" applyFont="1" applyFill="1" applyBorder="1" applyAlignment="1">
      <alignment horizontal="right"/>
    </xf>
    <xf numFmtId="165" fontId="12" fillId="7" borderId="1" xfId="0" applyNumberFormat="1" applyFont="1" applyFill="1" applyBorder="1" applyAlignment="1">
      <alignment horizontal="right"/>
    </xf>
    <xf numFmtId="165" fontId="12" fillId="7" borderId="1" xfId="0" applyNumberFormat="1" applyFont="1" applyFill="1" applyBorder="1"/>
    <xf numFmtId="165" fontId="13" fillId="7" borderId="1" xfId="0" applyNumberFormat="1" applyFont="1" applyFill="1" applyBorder="1"/>
    <xf numFmtId="2" fontId="13" fillId="7" borderId="1" xfId="0" applyNumberFormat="1" applyFont="1" applyFill="1" applyBorder="1"/>
    <xf numFmtId="2" fontId="12" fillId="0" borderId="1" xfId="0" applyNumberFormat="1" applyFont="1" applyBorder="1" applyAlignment="1">
      <alignment horizontal="right" wrapText="1"/>
    </xf>
    <xf numFmtId="2" fontId="12" fillId="0" borderId="1" xfId="0" applyNumberFormat="1" applyFont="1" applyBorder="1"/>
    <xf numFmtId="0" fontId="12" fillId="3" borderId="0" xfId="0" applyFont="1" applyFill="1"/>
    <xf numFmtId="0" fontId="12" fillId="3" borderId="1" xfId="0" applyFont="1" applyFill="1" applyBorder="1" applyAlignment="1">
      <alignment horizontal="left" wrapText="1"/>
    </xf>
    <xf numFmtId="49" fontId="12" fillId="3" borderId="1" xfId="0" applyNumberFormat="1" applyFont="1" applyFill="1" applyBorder="1" applyAlignment="1">
      <alignment horizontal="center" wrapText="1"/>
    </xf>
    <xf numFmtId="0" fontId="12" fillId="3" borderId="1" xfId="0" applyFont="1" applyFill="1" applyBorder="1" applyAlignment="1">
      <alignment horizontal="justify" wrapText="1"/>
    </xf>
    <xf numFmtId="171" fontId="12" fillId="3" borderId="1" xfId="0" applyNumberFormat="1" applyFont="1" applyFill="1" applyBorder="1" applyAlignment="1">
      <alignment horizontal="left" vertical="center" wrapText="1"/>
    </xf>
    <xf numFmtId="171" fontId="14" fillId="3" borderId="1" xfId="0" applyNumberFormat="1" applyFont="1" applyFill="1" applyBorder="1" applyAlignment="1">
      <alignment horizontal="right" wrapText="1"/>
    </xf>
    <xf numFmtId="1" fontId="12" fillId="3" borderId="1" xfId="0" applyNumberFormat="1" applyFont="1" applyFill="1" applyBorder="1" applyAlignment="1">
      <alignment horizontal="right" wrapText="1"/>
    </xf>
    <xf numFmtId="2" fontId="12" fillId="3" borderId="1" xfId="0" applyNumberFormat="1" applyFont="1" applyFill="1" applyBorder="1" applyAlignment="1">
      <alignment horizontal="right" wrapText="1"/>
    </xf>
    <xf numFmtId="165" fontId="12" fillId="3" borderId="1" xfId="0" applyNumberFormat="1" applyFont="1" applyFill="1" applyBorder="1" applyAlignment="1">
      <alignment horizontal="right" wrapText="1"/>
    </xf>
    <xf numFmtId="0" fontId="13" fillId="3" borderId="1" xfId="0" applyFont="1" applyFill="1" applyBorder="1" applyAlignment="1">
      <alignment horizontal="right"/>
    </xf>
    <xf numFmtId="165" fontId="13" fillId="3" borderId="1" xfId="0" applyNumberFormat="1" applyFont="1" applyFill="1" applyBorder="1" applyAlignment="1">
      <alignment horizontal="right" wrapText="1"/>
    </xf>
    <xf numFmtId="0" fontId="12" fillId="3" borderId="1" xfId="0" applyFont="1" applyFill="1" applyBorder="1" applyAlignment="1">
      <alignment horizontal="right"/>
    </xf>
    <xf numFmtId="164" fontId="12" fillId="3" borderId="1" xfId="0" applyNumberFormat="1" applyFont="1" applyFill="1" applyBorder="1" applyAlignment="1">
      <alignment horizontal="right" wrapText="1"/>
    </xf>
    <xf numFmtId="0" fontId="13" fillId="3" borderId="1" xfId="0" applyFont="1" applyFill="1" applyBorder="1" applyAlignment="1">
      <alignment horizontal="right" vertical="center"/>
    </xf>
    <xf numFmtId="1" fontId="12" fillId="3" borderId="1" xfId="0" applyNumberFormat="1" applyFont="1" applyFill="1" applyBorder="1" applyAlignment="1">
      <alignment horizontal="right"/>
    </xf>
    <xf numFmtId="165" fontId="12" fillId="3" borderId="1" xfId="0" applyNumberFormat="1" applyFont="1" applyFill="1" applyBorder="1" applyAlignment="1">
      <alignment horizontal="right"/>
    </xf>
    <xf numFmtId="165" fontId="12" fillId="3" borderId="1" xfId="0" applyNumberFormat="1" applyFont="1" applyFill="1" applyBorder="1"/>
    <xf numFmtId="165" fontId="12" fillId="3" borderId="1" xfId="0" applyNumberFormat="1" applyFont="1" applyFill="1" applyBorder="1" applyAlignment="1">
      <alignment horizontal="center" vertical="center" wrapText="1"/>
    </xf>
    <xf numFmtId="165" fontId="12" fillId="3" borderId="13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/>
    <xf numFmtId="0" fontId="36" fillId="3" borderId="1" xfId="0" applyFont="1" applyFill="1" applyBorder="1" applyAlignment="1">
      <alignment horizontal="justify" wrapText="1"/>
    </xf>
    <xf numFmtId="171" fontId="12" fillId="0" borderId="1" xfId="0" applyNumberFormat="1" applyFont="1" applyBorder="1" applyAlignment="1">
      <alignment horizontal="left" vertical="center"/>
    </xf>
    <xf numFmtId="0" fontId="37" fillId="0" borderId="1" xfId="0" applyFont="1" applyBorder="1" applyAlignment="1">
      <alignment horizontal="justify" vertical="center" wrapText="1"/>
    </xf>
    <xf numFmtId="0" fontId="14" fillId="3" borderId="1" xfId="0" applyFont="1" applyFill="1" applyBorder="1" applyAlignment="1">
      <alignment wrapText="1"/>
    </xf>
    <xf numFmtId="0" fontId="12" fillId="0" borderId="1" xfId="0" applyFont="1" applyBorder="1" applyAlignment="1">
      <alignment horizontal="right" vertical="center"/>
    </xf>
    <xf numFmtId="171" fontId="12" fillId="0" borderId="1" xfId="0" applyNumberFormat="1" applyFont="1" applyBorder="1" applyAlignment="1">
      <alignment horizontal="right" wrapText="1"/>
    </xf>
    <xf numFmtId="172" fontId="13" fillId="0" borderId="1" xfId="0" applyNumberFormat="1" applyFont="1" applyBorder="1" applyAlignment="1">
      <alignment horizontal="right" wrapText="1"/>
    </xf>
    <xf numFmtId="0" fontId="13" fillId="0" borderId="1" xfId="0" applyFont="1" applyBorder="1" applyAlignment="1">
      <alignment horizontal="right"/>
    </xf>
    <xf numFmtId="2" fontId="37" fillId="0" borderId="1" xfId="0" applyNumberFormat="1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172" fontId="13" fillId="3" borderId="1" xfId="0" applyNumberFormat="1" applyFont="1" applyFill="1" applyBorder="1" applyAlignment="1">
      <alignment horizontal="right" wrapText="1"/>
    </xf>
    <xf numFmtId="2" fontId="13" fillId="3" borderId="1" xfId="0" applyNumberFormat="1" applyFont="1" applyFill="1" applyBorder="1" applyAlignment="1">
      <alignment horizontal="right" vertical="center"/>
    </xf>
    <xf numFmtId="2" fontId="37" fillId="3" borderId="1" xfId="0" applyNumberFormat="1" applyFont="1" applyFill="1" applyBorder="1" applyAlignment="1">
      <alignment horizontal="left" vertical="center" wrapText="1"/>
    </xf>
    <xf numFmtId="49" fontId="12" fillId="0" borderId="13" xfId="0" applyNumberFormat="1" applyFont="1" applyBorder="1" applyAlignment="1">
      <alignment wrapText="1"/>
    </xf>
    <xf numFmtId="9" fontId="12" fillId="0" borderId="1" xfId="0" applyNumberFormat="1" applyFont="1" applyBorder="1" applyAlignment="1">
      <alignment horizontal="right" wrapText="1"/>
    </xf>
    <xf numFmtId="0" fontId="36" fillId="0" borderId="1" xfId="0" applyFont="1" applyBorder="1" applyAlignment="1">
      <alignment horizontal="justify" wrapText="1"/>
    </xf>
    <xf numFmtId="0" fontId="12" fillId="3" borderId="1" xfId="0" applyFont="1" applyFill="1" applyBorder="1" applyAlignment="1">
      <alignment horizontal="right" vertical="center"/>
    </xf>
    <xf numFmtId="2" fontId="12" fillId="0" borderId="1" xfId="0" applyNumberFormat="1" applyFont="1" applyBorder="1" applyAlignment="1">
      <alignment horizontal="justify" wrapText="1"/>
    </xf>
    <xf numFmtId="0" fontId="24" fillId="0" borderId="1" xfId="0" applyFont="1" applyBorder="1" applyAlignment="1">
      <alignment horizontal="justify" vertical="center"/>
    </xf>
    <xf numFmtId="0" fontId="13" fillId="0" borderId="1" xfId="0" applyFont="1" applyBorder="1" applyAlignment="1">
      <alignment horizontal="right" vertical="center"/>
    </xf>
    <xf numFmtId="171" fontId="36" fillId="0" borderId="1" xfId="0" applyNumberFormat="1" applyFont="1" applyBorder="1" applyAlignment="1">
      <alignment horizontal="left" vertical="center" wrapText="1"/>
    </xf>
    <xf numFmtId="0" fontId="13" fillId="7" borderId="0" xfId="0" applyFont="1" applyFill="1"/>
    <xf numFmtId="0" fontId="13" fillId="7" borderId="1" xfId="0" applyFont="1" applyFill="1" applyBorder="1" applyAlignment="1">
      <alignment horizontal="left" wrapText="1"/>
    </xf>
    <xf numFmtId="49" fontId="13" fillId="7" borderId="1" xfId="0" applyNumberFormat="1" applyFont="1" applyFill="1" applyBorder="1" applyAlignment="1">
      <alignment horizontal="center" wrapText="1"/>
    </xf>
    <xf numFmtId="171" fontId="38" fillId="7" borderId="1" xfId="0" applyNumberFormat="1" applyFont="1" applyFill="1" applyBorder="1" applyAlignment="1">
      <alignment horizontal="right" wrapText="1"/>
    </xf>
    <xf numFmtId="1" fontId="13" fillId="7" borderId="1" xfId="0" applyNumberFormat="1" applyFont="1" applyFill="1" applyBorder="1" applyAlignment="1">
      <alignment horizontal="right" wrapText="1"/>
    </xf>
    <xf numFmtId="2" fontId="13" fillId="7" borderId="1" xfId="0" applyNumberFormat="1" applyFont="1" applyFill="1" applyBorder="1" applyAlignment="1">
      <alignment horizontal="right" wrapText="1"/>
    </xf>
    <xf numFmtId="164" fontId="13" fillId="7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right" wrapText="1"/>
    </xf>
    <xf numFmtId="165" fontId="13" fillId="0" borderId="1" xfId="0" applyNumberFormat="1" applyFont="1" applyBorder="1"/>
    <xf numFmtId="165" fontId="39" fillId="0" borderId="1" xfId="0" applyNumberFormat="1" applyFont="1" applyBorder="1"/>
    <xf numFmtId="2" fontId="13" fillId="0" borderId="1" xfId="0" applyNumberFormat="1" applyFont="1" applyBorder="1"/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right"/>
    </xf>
    <xf numFmtId="172" fontId="12" fillId="0" borderId="0" xfId="0" applyNumberFormat="1" applyFont="1"/>
    <xf numFmtId="165" fontId="12" fillId="0" borderId="0" xfId="0" applyNumberFormat="1" applyFont="1"/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vertical="top" wrapText="1"/>
    </xf>
    <xf numFmtId="0" fontId="33" fillId="4" borderId="1" xfId="0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" fontId="13" fillId="4" borderId="1" xfId="0" applyNumberFormat="1" applyFont="1" applyFill="1" applyBorder="1" applyAlignment="1">
      <alignment horizontal="center" vertical="center"/>
    </xf>
    <xf numFmtId="165" fontId="12" fillId="4" borderId="1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 wrapText="1"/>
    </xf>
    <xf numFmtId="1" fontId="13" fillId="2" borderId="1" xfId="0" applyNumberFormat="1" applyFont="1" applyFill="1" applyBorder="1" applyAlignment="1">
      <alignment horizontal="center" vertical="center"/>
    </xf>
    <xf numFmtId="0" fontId="33" fillId="9" borderId="1" xfId="0" applyFont="1" applyFill="1" applyBorder="1" applyAlignment="1">
      <alignment horizontal="center" vertical="center"/>
    </xf>
    <xf numFmtId="165" fontId="13" fillId="9" borderId="1" xfId="0" applyNumberFormat="1" applyFont="1" applyFill="1" applyBorder="1" applyAlignment="1">
      <alignment horizontal="center" vertical="center" wrapText="1"/>
    </xf>
    <xf numFmtId="1" fontId="13" fillId="9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right" vertical="top" wrapText="1"/>
    </xf>
    <xf numFmtId="0" fontId="12" fillId="4" borderId="1" xfId="0" applyFont="1" applyFill="1" applyBorder="1" applyAlignment="1">
      <alignment horizontal="justify" vertical="center" wrapText="1"/>
    </xf>
    <xf numFmtId="0" fontId="13" fillId="4" borderId="1" xfId="0" applyFont="1" applyFill="1" applyBorder="1"/>
    <xf numFmtId="172" fontId="13" fillId="4" borderId="1" xfId="0" applyNumberFormat="1" applyFont="1" applyFill="1" applyBorder="1" applyAlignment="1">
      <alignment horizontal="right"/>
    </xf>
    <xf numFmtId="171" fontId="13" fillId="4" borderId="1" xfId="0" applyNumberFormat="1" applyFont="1" applyFill="1" applyBorder="1" applyAlignment="1">
      <alignment horizontal="right"/>
    </xf>
    <xf numFmtId="171" fontId="12" fillId="4" borderId="1" xfId="0" applyNumberFormat="1" applyFont="1" applyFill="1" applyBorder="1"/>
    <xf numFmtId="165" fontId="12" fillId="2" borderId="1" xfId="0" applyNumberFormat="1" applyFont="1" applyFill="1" applyBorder="1"/>
    <xf numFmtId="165" fontId="12" fillId="9" borderId="1" xfId="0" applyNumberFormat="1" applyFont="1" applyFill="1" applyBorder="1"/>
    <xf numFmtId="172" fontId="13" fillId="4" borderId="1" xfId="0" applyNumberFormat="1" applyFont="1" applyFill="1" applyBorder="1"/>
    <xf numFmtId="172" fontId="12" fillId="4" borderId="1" xfId="0" applyNumberFormat="1" applyFont="1" applyFill="1" applyBorder="1"/>
    <xf numFmtId="0" fontId="13" fillId="4" borderId="1" xfId="0" applyFont="1" applyFill="1" applyBorder="1" applyAlignment="1">
      <alignment horizontal="justify" vertical="center" wrapText="1"/>
    </xf>
    <xf numFmtId="0" fontId="12" fillId="4" borderId="1" xfId="0" applyFont="1" applyFill="1" applyBorder="1"/>
    <xf numFmtId="0" fontId="36" fillId="4" borderId="1" xfId="0" applyFont="1" applyFill="1" applyBorder="1"/>
    <xf numFmtId="165" fontId="36" fillId="2" borderId="1" xfId="0" applyNumberFormat="1" applyFont="1" applyFill="1" applyBorder="1"/>
    <xf numFmtId="165" fontId="36" fillId="9" borderId="1" xfId="0" applyNumberFormat="1" applyFont="1" applyFill="1" applyBorder="1"/>
    <xf numFmtId="0" fontId="1" fillId="0" borderId="1" xfId="0" applyFont="1" applyBorder="1"/>
    <xf numFmtId="171" fontId="12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/>
    <xf numFmtId="165" fontId="40" fillId="0" borderId="1" xfId="0" applyNumberFormat="1" applyFont="1" applyBorder="1"/>
    <xf numFmtId="0" fontId="32" fillId="0" borderId="0" xfId="0" applyFont="1"/>
    <xf numFmtId="0" fontId="41" fillId="0" borderId="0" xfId="0" applyFont="1" applyAlignment="1">
      <alignment wrapText="1"/>
    </xf>
    <xf numFmtId="0" fontId="41" fillId="0" borderId="0" xfId="0" applyFont="1" applyAlignment="1">
      <alignment horizontal="center" wrapText="1"/>
    </xf>
    <xf numFmtId="0" fontId="18" fillId="0" borderId="0" xfId="0" applyFont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left" wrapText="1"/>
    </xf>
    <xf numFmtId="0" fontId="18" fillId="0" borderId="1" xfId="0" applyFont="1" applyBorder="1" applyAlignment="1">
      <alignment horizontal="center"/>
    </xf>
    <xf numFmtId="166" fontId="18" fillId="0" borderId="1" xfId="0" applyNumberFormat="1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166" fontId="18" fillId="0" borderId="9" xfId="0" applyNumberFormat="1" applyFont="1" applyBorder="1" applyAlignment="1">
      <alignment horizontal="center"/>
    </xf>
    <xf numFmtId="0" fontId="18" fillId="0" borderId="0" xfId="0" applyFont="1"/>
    <xf numFmtId="0" fontId="18" fillId="0" borderId="1" xfId="0" applyFont="1" applyBorder="1"/>
    <xf numFmtId="171" fontId="12" fillId="0" borderId="0" xfId="0" applyNumberFormat="1" applyFont="1" applyAlignment="1">
      <alignment horizontal="left" vertical="center" wrapText="1"/>
    </xf>
    <xf numFmtId="0" fontId="18" fillId="0" borderId="1" xfId="0" applyFont="1" applyBorder="1" applyAlignment="1">
      <alignment horizontal="left"/>
    </xf>
    <xf numFmtId="171" fontId="36" fillId="0" borderId="0" xfId="0" applyNumberFormat="1" applyFont="1" applyAlignment="1">
      <alignment horizontal="left" vertical="center" wrapText="1"/>
    </xf>
    <xf numFmtId="0" fontId="42" fillId="0" borderId="1" xfId="0" applyFont="1" applyBorder="1" applyAlignment="1">
      <alignment horizontal="left"/>
    </xf>
    <xf numFmtId="0" fontId="42" fillId="0" borderId="1" xfId="0" applyFont="1" applyBorder="1" applyAlignment="1">
      <alignment horizontal="center"/>
    </xf>
    <xf numFmtId="0" fontId="12" fillId="0" borderId="0" xfId="0" applyFont="1" applyAlignment="1">
      <alignment horizontal="justify" wrapText="1"/>
    </xf>
    <xf numFmtId="0" fontId="32" fillId="0" borderId="1" xfId="0" applyFont="1" applyBorder="1" applyAlignment="1">
      <alignment horizontal="center"/>
    </xf>
    <xf numFmtId="0" fontId="32" fillId="0" borderId="1" xfId="0" applyFont="1" applyBorder="1"/>
    <xf numFmtId="0" fontId="32" fillId="0" borderId="11" xfId="0" applyFont="1" applyBorder="1"/>
    <xf numFmtId="2" fontId="32" fillId="0" borderId="1" xfId="0" applyNumberFormat="1" applyFont="1" applyBorder="1"/>
    <xf numFmtId="0" fontId="21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center" textRotation="90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center"/>
    </xf>
    <xf numFmtId="0" fontId="21" fillId="0" borderId="0" xfId="0" applyFont="1" applyAlignment="1">
      <alignment horizontal="center" wrapText="1"/>
    </xf>
    <xf numFmtId="0" fontId="21" fillId="0" borderId="13" xfId="0" applyFont="1" applyBorder="1" applyAlignment="1">
      <alignment horizontal="center" vertical="top" wrapText="1"/>
    </xf>
    <xf numFmtId="0" fontId="21" fillId="0" borderId="13" xfId="0" applyFont="1" applyBorder="1" applyAlignment="1">
      <alignment horizontal="center" vertical="center" textRotation="90" wrapText="1"/>
    </xf>
    <xf numFmtId="173" fontId="21" fillId="0" borderId="1" xfId="0" applyNumberFormat="1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justify" wrapText="1"/>
    </xf>
    <xf numFmtId="0" fontId="21" fillId="0" borderId="1" xfId="0" applyFont="1" applyBorder="1" applyAlignment="1">
      <alignment wrapText="1"/>
    </xf>
    <xf numFmtId="0" fontId="21" fillId="0" borderId="1" xfId="0" applyFont="1" applyBorder="1"/>
    <xf numFmtId="2" fontId="21" fillId="0" borderId="1" xfId="0" applyNumberFormat="1" applyFont="1" applyBorder="1"/>
    <xf numFmtId="1" fontId="21" fillId="0" borderId="1" xfId="0" applyNumberFormat="1" applyFont="1" applyBorder="1"/>
    <xf numFmtId="0" fontId="43" fillId="0" borderId="1" xfId="0" applyFont="1" applyBorder="1"/>
    <xf numFmtId="165" fontId="21" fillId="0" borderId="1" xfId="0" applyNumberFormat="1" applyFont="1" applyBorder="1"/>
    <xf numFmtId="164" fontId="21" fillId="0" borderId="1" xfId="0" applyNumberFormat="1" applyFont="1" applyBorder="1"/>
    <xf numFmtId="172" fontId="21" fillId="0" borderId="1" xfId="0" applyNumberFormat="1" applyFont="1" applyBorder="1"/>
    <xf numFmtId="0" fontId="23" fillId="0" borderId="1" xfId="0" applyFont="1" applyBorder="1" applyAlignment="1">
      <alignment wrapText="1"/>
    </xf>
    <xf numFmtId="0" fontId="23" fillId="0" borderId="1" xfId="0" applyFont="1" applyBorder="1"/>
    <xf numFmtId="165" fontId="23" fillId="0" borderId="1" xfId="0" applyNumberFormat="1" applyFont="1" applyBorder="1"/>
    <xf numFmtId="0" fontId="23" fillId="2" borderId="1" xfId="0" applyFont="1" applyFill="1" applyBorder="1" applyAlignment="1">
      <alignment horizontal="center"/>
    </xf>
    <xf numFmtId="0" fontId="23" fillId="2" borderId="1" xfId="0" applyFont="1" applyFill="1" applyBorder="1"/>
    <xf numFmtId="164" fontId="23" fillId="2" borderId="1" xfId="0" applyNumberFormat="1" applyFont="1" applyFill="1" applyBorder="1" applyAlignment="1">
      <alignment horizontal="center"/>
    </xf>
    <xf numFmtId="165" fontId="23" fillId="2" borderId="1" xfId="0" applyNumberFormat="1" applyFont="1" applyFill="1" applyBorder="1" applyAlignment="1">
      <alignment horizontal="center"/>
    </xf>
    <xf numFmtId="0" fontId="21" fillId="2" borderId="1" xfId="0" applyFont="1" applyFill="1" applyBorder="1"/>
    <xf numFmtId="165" fontId="23" fillId="2" borderId="1" xfId="0" applyNumberFormat="1" applyFont="1" applyFill="1" applyBorder="1"/>
    <xf numFmtId="2" fontId="23" fillId="2" borderId="1" xfId="0" applyNumberFormat="1" applyFont="1" applyFill="1" applyBorder="1"/>
    <xf numFmtId="165" fontId="21" fillId="0" borderId="0" xfId="0" applyNumberFormat="1" applyFont="1"/>
    <xf numFmtId="172" fontId="18" fillId="0" borderId="1" xfId="0" applyNumberFormat="1" applyFont="1" applyBorder="1" applyAlignment="1">
      <alignment horizontal="justify" wrapText="1"/>
    </xf>
    <xf numFmtId="2" fontId="18" fillId="0" borderId="1" xfId="0" applyNumberFormat="1" applyFont="1" applyBorder="1" applyAlignment="1">
      <alignment horizontal="justify" wrapText="1"/>
    </xf>
    <xf numFmtId="0" fontId="23" fillId="0" borderId="0" xfId="0" applyFont="1" applyAlignment="1">
      <alignment horizont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21" fillId="0" borderId="1" xfId="0" applyFont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18" fillId="10" borderId="0" xfId="0" applyFont="1" applyFill="1" applyAlignment="1">
      <alignment horizontal="left"/>
    </xf>
    <xf numFmtId="0" fontId="18" fillId="10" borderId="0" xfId="0" applyFont="1" applyFill="1"/>
    <xf numFmtId="0" fontId="21" fillId="10" borderId="0" xfId="0" applyFont="1" applyFill="1"/>
    <xf numFmtId="174" fontId="18" fillId="0" borderId="1" xfId="0" applyNumberFormat="1" applyFont="1" applyBorder="1" applyAlignment="1">
      <alignment horizontal="left"/>
    </xf>
    <xf numFmtId="0" fontId="21" fillId="10" borderId="0" xfId="0" applyFont="1" applyFill="1" applyAlignment="1">
      <alignment horizontal="left"/>
    </xf>
    <xf numFmtId="0" fontId="21" fillId="10" borderId="0" xfId="0" applyFont="1" applyFill="1" applyAlignment="1">
      <alignment horizontal="justify"/>
    </xf>
    <xf numFmtId="0" fontId="23" fillId="10" borderId="0" xfId="0" applyFont="1" applyFill="1"/>
    <xf numFmtId="0" fontId="18" fillId="11" borderId="1" xfId="0" applyFont="1" applyFill="1" applyBorder="1"/>
    <xf numFmtId="0" fontId="18" fillId="11" borderId="1" xfId="0" applyFont="1" applyFill="1" applyBorder="1" applyAlignment="1">
      <alignment horizontal="justify" wrapText="1"/>
    </xf>
    <xf numFmtId="0" fontId="21" fillId="3" borderId="0" xfId="0" applyFont="1" applyFill="1"/>
    <xf numFmtId="0" fontId="21" fillId="3" borderId="1" xfId="0" applyFont="1" applyFill="1" applyBorder="1"/>
    <xf numFmtId="0" fontId="18" fillId="0" borderId="1" xfId="0" applyFont="1" applyBorder="1" applyAlignment="1">
      <alignment wrapText="1"/>
    </xf>
    <xf numFmtId="0" fontId="18" fillId="12" borderId="1" xfId="0" applyFont="1" applyFill="1" applyBorder="1" applyAlignment="1">
      <alignment horizontal="left"/>
    </xf>
    <xf numFmtId="172" fontId="18" fillId="12" borderId="1" xfId="0" applyNumberFormat="1" applyFont="1" applyFill="1" applyBorder="1" applyAlignment="1">
      <alignment horizontal="left"/>
    </xf>
    <xf numFmtId="0" fontId="18" fillId="12" borderId="1" xfId="0" applyFont="1" applyFill="1" applyBorder="1"/>
    <xf numFmtId="172" fontId="18" fillId="0" borderId="1" xfId="0" applyNumberFormat="1" applyFont="1" applyBorder="1" applyAlignment="1">
      <alignment horizontal="left"/>
    </xf>
    <xf numFmtId="0" fontId="18" fillId="11" borderId="1" xfId="0" applyFont="1" applyFill="1" applyBorder="1" applyAlignment="1">
      <alignment horizontal="center"/>
    </xf>
    <xf numFmtId="0" fontId="18" fillId="0" borderId="11" xfId="0" applyFont="1" applyBorder="1" applyAlignment="1">
      <alignment horizontal="center"/>
    </xf>
    <xf numFmtId="0" fontId="18" fillId="11" borderId="1" xfId="0" applyFont="1" applyFill="1" applyBorder="1" applyAlignment="1">
      <alignment horizontal="left"/>
    </xf>
    <xf numFmtId="0" fontId="18" fillId="0" borderId="11" xfId="0" applyFont="1" applyBorder="1"/>
    <xf numFmtId="0" fontId="18" fillId="11" borderId="10" xfId="0" applyFont="1" applyFill="1" applyBorder="1" applyAlignment="1">
      <alignment horizontal="left"/>
    </xf>
    <xf numFmtId="0" fontId="18" fillId="0" borderId="10" xfId="0" applyFont="1" applyBorder="1" applyAlignment="1">
      <alignment horizontal="left"/>
    </xf>
    <xf numFmtId="0" fontId="18" fillId="13" borderId="1" xfId="0" applyFont="1" applyFill="1" applyBorder="1" applyAlignment="1">
      <alignment horizontal="left"/>
    </xf>
    <xf numFmtId="0" fontId="20" fillId="0" borderId="1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top" wrapText="1"/>
    </xf>
    <xf numFmtId="0" fontId="15" fillId="0" borderId="26" xfId="0" applyFont="1" applyBorder="1" applyAlignment="1">
      <alignment horizontal="left" vertical="center" wrapText="1"/>
    </xf>
    <xf numFmtId="165" fontId="15" fillId="0" borderId="26" xfId="0" applyNumberFormat="1" applyFont="1" applyBorder="1" applyAlignment="1">
      <alignment horizontal="right" vertical="center" wrapText="1"/>
    </xf>
    <xf numFmtId="0" fontId="15" fillId="0" borderId="26" xfId="0" applyFont="1" applyBorder="1" applyAlignment="1">
      <alignment vertical="center" wrapText="1"/>
    </xf>
    <xf numFmtId="0" fontId="15" fillId="0" borderId="26" xfId="0" applyFont="1" applyBorder="1" applyAlignment="1">
      <alignment vertical="center"/>
    </xf>
    <xf numFmtId="49" fontId="15" fillId="0" borderId="26" xfId="0" applyNumberFormat="1" applyFont="1" applyBorder="1" applyAlignment="1">
      <alignment horizontal="left" vertical="center" wrapText="1"/>
    </xf>
    <xf numFmtId="49" fontId="15" fillId="0" borderId="26" xfId="0" applyNumberFormat="1" applyFont="1" applyBorder="1" applyAlignment="1">
      <alignment horizontal="justify" vertical="center" wrapText="1"/>
    </xf>
    <xf numFmtId="0" fontId="15" fillId="0" borderId="26" xfId="0" applyFont="1" applyBorder="1" applyAlignment="1">
      <alignment horizontal="justify" vertical="center" wrapText="1"/>
    </xf>
    <xf numFmtId="0" fontId="17" fillId="0" borderId="26" xfId="0" applyFont="1" applyBorder="1" applyAlignment="1">
      <alignment horizontal="center" vertical="center" wrapText="1"/>
    </xf>
    <xf numFmtId="2" fontId="15" fillId="0" borderId="0" xfId="0" applyNumberFormat="1" applyFont="1" applyAlignment="1">
      <alignment vertical="center"/>
    </xf>
    <xf numFmtId="4" fontId="15" fillId="0" borderId="26" xfId="0" applyNumberFormat="1" applyFont="1" applyBorder="1" applyAlignment="1">
      <alignment horizontal="right" vertical="center" wrapText="1"/>
    </xf>
    <xf numFmtId="167" fontId="12" fillId="0" borderId="1" xfId="0" applyNumberFormat="1" applyFont="1" applyBorder="1" applyAlignment="1">
      <alignment horizontal="right" vertical="center" wrapText="1" indent="1"/>
    </xf>
    <xf numFmtId="165" fontId="15" fillId="0" borderId="1" xfId="0" applyNumberFormat="1" applyFont="1" applyBorder="1" applyAlignment="1">
      <alignment horizontal="center" vertical="center" wrapText="1"/>
    </xf>
    <xf numFmtId="2" fontId="15" fillId="0" borderId="0" xfId="0" applyNumberFormat="1" applyFont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65" fontId="15" fillId="0" borderId="13" xfId="0" applyNumberFormat="1" applyFont="1" applyBorder="1" applyAlignment="1">
      <alignment horizontal="center" vertical="center" wrapText="1"/>
    </xf>
    <xf numFmtId="167" fontId="15" fillId="0" borderId="13" xfId="0" applyNumberFormat="1" applyFont="1" applyBorder="1" applyAlignment="1">
      <alignment horizontal="center" vertical="center"/>
    </xf>
    <xf numFmtId="167" fontId="15" fillId="0" borderId="1" xfId="0" applyNumberFormat="1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70" fontId="15" fillId="0" borderId="11" xfId="0" applyNumberFormat="1" applyFont="1" applyFill="1" applyBorder="1" applyAlignment="1">
      <alignment horizontal="center" vertical="center" wrapText="1"/>
    </xf>
    <xf numFmtId="170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70" fontId="15" fillId="0" borderId="1" xfId="0" applyNumberFormat="1" applyFont="1" applyFill="1" applyBorder="1" applyAlignment="1">
      <alignment horizontal="right" vertical="center" indent="1"/>
    </xf>
    <xf numFmtId="165" fontId="15" fillId="0" borderId="1" xfId="0" applyNumberFormat="1" applyFont="1" applyFill="1" applyBorder="1" applyAlignment="1">
      <alignment horizontal="right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5" fillId="0" borderId="1" xfId="0" applyFont="1" applyFill="1" applyBorder="1" applyAlignment="1">
      <alignment vertical="center" wrapText="1"/>
    </xf>
    <xf numFmtId="165" fontId="16" fillId="0" borderId="1" xfId="0" applyNumberFormat="1" applyFont="1" applyFill="1" applyBorder="1" applyAlignment="1">
      <alignment horizontal="right" vertical="center"/>
    </xf>
    <xf numFmtId="0" fontId="15" fillId="0" borderId="10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/>
    </xf>
    <xf numFmtId="2" fontId="15" fillId="0" borderId="1" xfId="0" applyNumberFormat="1" applyFont="1" applyFill="1" applyBorder="1" applyAlignment="1">
      <alignment horizontal="center" vertical="center" wrapText="1"/>
    </xf>
    <xf numFmtId="168" fontId="15" fillId="0" borderId="1" xfId="0" applyNumberFormat="1" applyFont="1" applyFill="1" applyBorder="1" applyAlignment="1">
      <alignment horizontal="left" vertical="center" wrapText="1"/>
    </xf>
    <xf numFmtId="166" fontId="15" fillId="0" borderId="1" xfId="0" applyNumberFormat="1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0" fontId="15" fillId="0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22" xfId="0" applyFont="1" applyBorder="1" applyAlignment="1">
      <alignment horizontal="lef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/>
    </xf>
    <xf numFmtId="170" fontId="15" fillId="0" borderId="1" xfId="0" applyNumberFormat="1" applyFont="1" applyFill="1" applyBorder="1" applyAlignment="1">
      <alignment horizontal="center" vertical="center" wrapText="1"/>
    </xf>
    <xf numFmtId="170" fontId="15" fillId="0" borderId="3" xfId="0" applyNumberFormat="1" applyFont="1" applyFill="1" applyBorder="1" applyAlignment="1">
      <alignment horizontal="center" vertical="center" wrapText="1"/>
    </xf>
    <xf numFmtId="170" fontId="15" fillId="0" borderId="11" xfId="0" applyNumberFormat="1" applyFont="1" applyFill="1" applyBorder="1" applyAlignment="1">
      <alignment horizontal="center" vertical="center" wrapText="1"/>
    </xf>
    <xf numFmtId="170" fontId="15" fillId="0" borderId="14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justify" vertical="center" wrapText="1"/>
    </xf>
    <xf numFmtId="0" fontId="15" fillId="0" borderId="3" xfId="0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5" fillId="0" borderId="26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left" vertical="center" wrapText="1"/>
    </xf>
    <xf numFmtId="0" fontId="17" fillId="0" borderId="26" xfId="0" applyFont="1" applyBorder="1" applyAlignment="1">
      <alignment horizontal="left" vertical="center" wrapText="1"/>
    </xf>
    <xf numFmtId="0" fontId="15" fillId="0" borderId="26" xfId="0" applyFont="1" applyBorder="1" applyAlignment="1">
      <alignment horizontal="justify" vertical="center" wrapText="1"/>
    </xf>
    <xf numFmtId="2" fontId="15" fillId="0" borderId="20" xfId="0" applyNumberFormat="1" applyFont="1" applyBorder="1" applyAlignment="1">
      <alignment horizontal="center" vertical="center" wrapText="1"/>
    </xf>
    <xf numFmtId="2" fontId="15" fillId="0" borderId="2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2" fontId="15" fillId="0" borderId="5" xfId="0" applyNumberFormat="1" applyFont="1" applyBorder="1" applyAlignment="1">
      <alignment horizontal="center" vertical="center" wrapText="1"/>
    </xf>
    <xf numFmtId="2" fontId="15" fillId="0" borderId="6" xfId="0" applyNumberFormat="1" applyFont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8" fillId="0" borderId="0" xfId="0" applyFont="1" applyAlignment="1">
      <alignment horizontal="justify" vertical="top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justify" vertical="center"/>
    </xf>
    <xf numFmtId="0" fontId="27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top"/>
    </xf>
    <xf numFmtId="0" fontId="28" fillId="0" borderId="0" xfId="0" applyFont="1" applyAlignment="1">
      <alignment horizontal="justify" vertical="top" wrapText="1"/>
    </xf>
    <xf numFmtId="0" fontId="28" fillId="0" borderId="0" xfId="0" applyFont="1" applyAlignment="1">
      <alignment horizontal="justify" vertical="top"/>
    </xf>
    <xf numFmtId="0" fontId="18" fillId="0" borderId="0" xfId="0" applyFont="1" applyAlignment="1">
      <alignment vertical="top" wrapText="1"/>
    </xf>
    <xf numFmtId="0" fontId="27" fillId="0" borderId="0" xfId="0" applyFont="1" applyAlignment="1">
      <alignment vertical="top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top" wrapText="1"/>
    </xf>
    <xf numFmtId="2" fontId="13" fillId="0" borderId="2" xfId="0" applyNumberFormat="1" applyFont="1" applyBorder="1" applyAlignment="1">
      <alignment horizontal="center" vertical="top" wrapText="1"/>
    </xf>
    <xf numFmtId="2" fontId="13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13" fillId="0" borderId="3" xfId="0" applyFont="1" applyBorder="1" applyAlignment="1">
      <alignment horizontal="center" vertical="top"/>
    </xf>
    <xf numFmtId="2" fontId="13" fillId="0" borderId="1" xfId="0" applyNumberFormat="1" applyFont="1" applyBorder="1" applyAlignment="1">
      <alignment horizontal="center" vertical="center" textRotation="90" wrapText="1"/>
    </xf>
    <xf numFmtId="2" fontId="13" fillId="0" borderId="8" xfId="0" applyNumberFormat="1" applyFont="1" applyBorder="1" applyAlignment="1">
      <alignment horizontal="center" vertical="center" textRotation="90" wrapText="1"/>
    </xf>
    <xf numFmtId="2" fontId="13" fillId="0" borderId="4" xfId="0" applyNumberFormat="1" applyFont="1" applyBorder="1" applyAlignment="1">
      <alignment horizontal="center" vertical="center" textRotation="90" wrapText="1"/>
    </xf>
    <xf numFmtId="2" fontId="13" fillId="0" borderId="8" xfId="0" applyNumberFormat="1" applyFont="1" applyBorder="1" applyAlignment="1">
      <alignment horizontal="center" vertical="top" wrapText="1"/>
    </xf>
    <xf numFmtId="2" fontId="13" fillId="0" borderId="4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165" fontId="13" fillId="0" borderId="8" xfId="0" applyNumberFormat="1" applyFont="1" applyBorder="1" applyAlignment="1">
      <alignment horizontal="center" vertical="top" wrapText="1"/>
    </xf>
    <xf numFmtId="165" fontId="13" fillId="0" borderId="4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textRotation="90" wrapText="1"/>
    </xf>
    <xf numFmtId="0" fontId="12" fillId="0" borderId="4" xfId="0" applyFont="1" applyBorder="1" applyAlignment="1">
      <alignment horizontal="center" vertical="center" textRotation="90" wrapText="1"/>
    </xf>
    <xf numFmtId="0" fontId="24" fillId="0" borderId="1" xfId="0" applyFont="1" applyBorder="1" applyAlignment="1">
      <alignment horizontal="center" vertical="center" textRotation="90" wrapText="1"/>
    </xf>
    <xf numFmtId="0" fontId="24" fillId="0" borderId="4" xfId="0" applyFont="1" applyBorder="1" applyAlignment="1">
      <alignment horizontal="center" vertical="center" textRotation="90" wrapText="1"/>
    </xf>
    <xf numFmtId="0" fontId="24" fillId="0" borderId="9" xfId="0" applyFont="1" applyBorder="1" applyAlignment="1">
      <alignment horizontal="center" vertical="center" textRotation="90" wrapText="1"/>
    </xf>
    <xf numFmtId="0" fontId="24" fillId="0" borderId="12" xfId="0" applyFont="1" applyBorder="1" applyAlignment="1">
      <alignment horizontal="center" vertical="center" textRotation="90" wrapText="1"/>
    </xf>
    <xf numFmtId="2" fontId="30" fillId="0" borderId="1" xfId="0" applyNumberFormat="1" applyFont="1" applyBorder="1" applyAlignment="1">
      <alignment horizontal="center" vertical="center" textRotation="90" wrapText="1"/>
    </xf>
    <xf numFmtId="2" fontId="30" fillId="0" borderId="4" xfId="0" applyNumberFormat="1" applyFont="1" applyBorder="1" applyAlignment="1">
      <alignment horizontal="center" vertical="center" textRotation="90" wrapText="1"/>
    </xf>
    <xf numFmtId="0" fontId="30" fillId="0" borderId="20" xfId="0" applyFont="1" applyBorder="1" applyAlignment="1">
      <alignment horizontal="justify" wrapText="1"/>
    </xf>
    <xf numFmtId="0" fontId="30" fillId="0" borderId="22" xfId="0" applyFont="1" applyBorder="1" applyAlignment="1">
      <alignment horizontal="justify" wrapText="1"/>
    </xf>
    <xf numFmtId="0" fontId="30" fillId="0" borderId="21" xfId="0" applyFont="1" applyBorder="1" applyAlignment="1">
      <alignment horizontal="justify" wrapText="1"/>
    </xf>
    <xf numFmtId="165" fontId="13" fillId="0" borderId="2" xfId="0" applyNumberFormat="1" applyFont="1" applyBorder="1" applyAlignment="1">
      <alignment horizontal="center" vertical="top" wrapText="1"/>
    </xf>
    <xf numFmtId="165" fontId="13" fillId="0" borderId="3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2" fontId="30" fillId="2" borderId="1" xfId="0" applyNumberFormat="1" applyFont="1" applyFill="1" applyBorder="1" applyAlignment="1">
      <alignment horizontal="center" vertical="center" textRotation="90" wrapText="1"/>
    </xf>
    <xf numFmtId="2" fontId="30" fillId="2" borderId="4" xfId="0" applyNumberFormat="1" applyFont="1" applyFill="1" applyBorder="1" applyAlignment="1">
      <alignment horizontal="center" vertical="center" textRotation="90" wrapText="1"/>
    </xf>
    <xf numFmtId="0" fontId="12" fillId="0" borderId="1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/>
    </xf>
    <xf numFmtId="0" fontId="12" fillId="0" borderId="3" xfId="0" applyFont="1" applyBorder="1" applyAlignment="1">
      <alignment horizontal="center" vertical="top"/>
    </xf>
    <xf numFmtId="0" fontId="24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165" fontId="32" fillId="0" borderId="1" xfId="0" applyNumberFormat="1" applyFont="1" applyBorder="1" applyAlignment="1">
      <alignment horizontal="center" vertical="top" wrapText="1"/>
    </xf>
    <xf numFmtId="165" fontId="32" fillId="0" borderId="8" xfId="0" applyNumberFormat="1" applyFont="1" applyBorder="1" applyAlignment="1">
      <alignment horizontal="center" vertical="top" wrapText="1"/>
    </xf>
    <xf numFmtId="165" fontId="32" fillId="0" borderId="4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32" fillId="0" borderId="8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1" fontId="12" fillId="0" borderId="1" xfId="0" applyNumberFormat="1" applyFont="1" applyBorder="1" applyAlignment="1">
      <alignment horizontal="center" vertical="center" textRotation="90" wrapText="1"/>
    </xf>
    <xf numFmtId="1" fontId="12" fillId="0" borderId="8" xfId="0" applyNumberFormat="1" applyFont="1" applyBorder="1" applyAlignment="1">
      <alignment horizontal="center" vertical="center" textRotation="90" wrapText="1"/>
    </xf>
    <xf numFmtId="1" fontId="12" fillId="0" borderId="4" xfId="0" applyNumberFormat="1" applyFont="1" applyBorder="1" applyAlignment="1">
      <alignment horizontal="center" vertical="center" textRotation="90" wrapText="1"/>
    </xf>
    <xf numFmtId="165" fontId="33" fillId="0" borderId="1" xfId="0" applyNumberFormat="1" applyFont="1" applyBorder="1" applyAlignment="1">
      <alignment horizontal="center" vertical="center" textRotation="90" wrapText="1"/>
    </xf>
    <xf numFmtId="165" fontId="33" fillId="0" borderId="4" xfId="0" applyNumberFormat="1" applyFont="1" applyBorder="1" applyAlignment="1">
      <alignment horizontal="center" vertical="center" textRotation="90" wrapText="1"/>
    </xf>
    <xf numFmtId="0" fontId="13" fillId="9" borderId="1" xfId="0" applyFont="1" applyFill="1" applyBorder="1" applyAlignment="1">
      <alignment horizontal="center" vertical="center" wrapText="1"/>
    </xf>
    <xf numFmtId="0" fontId="13" fillId="9" borderId="2" xfId="0" applyFont="1" applyFill="1" applyBorder="1" applyAlignment="1">
      <alignment horizontal="center" vertical="center" wrapText="1"/>
    </xf>
    <xf numFmtId="0" fontId="13" fillId="9" borderId="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textRotation="90"/>
    </xf>
    <xf numFmtId="0" fontId="13" fillId="0" borderId="8" xfId="0" applyFont="1" applyBorder="1" applyAlignment="1">
      <alignment horizontal="center" vertical="center" textRotation="90"/>
    </xf>
    <xf numFmtId="0" fontId="13" fillId="0" borderId="4" xfId="0" applyFont="1" applyBorder="1" applyAlignment="1">
      <alignment horizontal="center" vertical="center" textRotation="90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textRotation="90"/>
    </xf>
    <xf numFmtId="0" fontId="12" fillId="0" borderId="4" xfId="0" applyFont="1" applyBorder="1" applyAlignment="1">
      <alignment horizontal="center" vertical="center" textRotation="90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171" fontId="12" fillId="0" borderId="1" xfId="0" applyNumberFormat="1" applyFont="1" applyBorder="1" applyAlignment="1">
      <alignment horizontal="center" vertical="center" wrapText="1"/>
    </xf>
    <xf numFmtId="171" fontId="12" fillId="0" borderId="2" xfId="0" applyNumberFormat="1" applyFont="1" applyBorder="1" applyAlignment="1">
      <alignment horizontal="center" vertical="center" wrapText="1"/>
    </xf>
    <xf numFmtId="171" fontId="12" fillId="0" borderId="3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36" fillId="0" borderId="0" xfId="0" applyFont="1" applyAlignment="1">
      <alignment horizontal="justify"/>
    </xf>
    <xf numFmtId="0" fontId="41" fillId="0" borderId="0" xfId="0" applyFont="1" applyAlignment="1">
      <alignment wrapText="1"/>
    </xf>
    <xf numFmtId="0" fontId="41" fillId="0" borderId="0" xfId="0" applyFont="1" applyAlignment="1">
      <alignment horizontal="center" wrapText="1"/>
    </xf>
    <xf numFmtId="0" fontId="32" fillId="3" borderId="19" xfId="0" applyFont="1" applyFill="1" applyBorder="1" applyAlignment="1">
      <alignment horizontal="justify"/>
    </xf>
    <xf numFmtId="0" fontId="32" fillId="3" borderId="23" xfId="0" applyFont="1" applyFill="1" applyBorder="1" applyAlignment="1">
      <alignment horizontal="justify"/>
    </xf>
    <xf numFmtId="0" fontId="32" fillId="3" borderId="24" xfId="0" applyFont="1" applyFill="1" applyBorder="1" applyAlignment="1">
      <alignment horizontal="justify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1" xfId="0" applyFont="1" applyBorder="1" applyAlignment="1">
      <alignment horizontal="center" wrapText="1"/>
    </xf>
    <xf numFmtId="0" fontId="21" fillId="0" borderId="2" xfId="0" applyFont="1" applyBorder="1" applyAlignment="1">
      <alignment horizontal="center" wrapText="1"/>
    </xf>
    <xf numFmtId="0" fontId="21" fillId="0" borderId="3" xfId="0" applyFont="1" applyBorder="1" applyAlignment="1">
      <alignment horizontal="center" wrapText="1"/>
    </xf>
    <xf numFmtId="0" fontId="21" fillId="0" borderId="0" xfId="0" applyFont="1" applyAlignment="1">
      <alignment horizontal="justify" wrapText="1"/>
    </xf>
    <xf numFmtId="0" fontId="21" fillId="0" borderId="0" xfId="0" applyFont="1" applyAlignment="1">
      <alignment vertical="top" wrapText="1"/>
    </xf>
    <xf numFmtId="172" fontId="18" fillId="0" borderId="1" xfId="0" applyNumberFormat="1" applyFont="1" applyBorder="1" applyAlignment="1">
      <alignment horizontal="center" wrapText="1"/>
    </xf>
    <xf numFmtId="172" fontId="18" fillId="0" borderId="2" xfId="0" applyNumberFormat="1" applyFont="1" applyBorder="1" applyAlignment="1">
      <alignment horizontal="center" wrapText="1"/>
    </xf>
    <xf numFmtId="172" fontId="18" fillId="0" borderId="3" xfId="0" applyNumberFormat="1" applyFont="1" applyBorder="1" applyAlignment="1">
      <alignment horizontal="center" wrapText="1"/>
    </xf>
    <xf numFmtId="0" fontId="18" fillId="0" borderId="1" xfId="0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left" wrapText="1"/>
    </xf>
    <xf numFmtId="0" fontId="21" fillId="0" borderId="23" xfId="0" applyFont="1" applyBorder="1" applyAlignment="1">
      <alignment horizontal="left" wrapText="1"/>
    </xf>
    <xf numFmtId="0" fontId="21" fillId="0" borderId="24" xfId="0" applyFont="1" applyBorder="1" applyAlignment="1">
      <alignment horizontal="left" wrapText="1"/>
    </xf>
    <xf numFmtId="0" fontId="23" fillId="2" borderId="1" xfId="0" applyFont="1" applyFill="1" applyBorder="1" applyAlignment="1">
      <alignment horizontal="center"/>
    </xf>
    <xf numFmtId="0" fontId="23" fillId="2" borderId="3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center" textRotation="90" wrapText="1"/>
    </xf>
    <xf numFmtId="0" fontId="14" fillId="0" borderId="4" xfId="0" applyFont="1" applyBorder="1" applyAlignment="1">
      <alignment vertical="center" textRotation="90" wrapText="1"/>
    </xf>
    <xf numFmtId="0" fontId="21" fillId="0" borderId="1" xfId="0" applyFont="1" applyBorder="1" applyAlignment="1">
      <alignment horizontal="center" vertical="center" textRotation="90" wrapText="1"/>
    </xf>
    <xf numFmtId="0" fontId="21" fillId="0" borderId="4" xfId="0" applyFont="1" applyBorder="1" applyAlignment="1">
      <alignment horizontal="center" vertical="center" textRotation="90" wrapText="1"/>
    </xf>
    <xf numFmtId="173" fontId="21" fillId="0" borderId="1" xfId="0" applyNumberFormat="1" applyFont="1" applyBorder="1" applyAlignment="1">
      <alignment horizontal="center" vertical="center"/>
    </xf>
    <xf numFmtId="173" fontId="21" fillId="0" borderId="2" xfId="0" applyNumberFormat="1" applyFont="1" applyBorder="1" applyAlignment="1">
      <alignment horizontal="center" vertical="center"/>
    </xf>
    <xf numFmtId="173" fontId="21" fillId="0" borderId="3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165" fontId="21" fillId="0" borderId="1" xfId="0" applyNumberFormat="1" applyFont="1" applyBorder="1" applyAlignment="1">
      <alignment horizontal="center" vertical="center" wrapText="1"/>
    </xf>
    <xf numFmtId="165" fontId="21" fillId="0" borderId="2" xfId="0" applyNumberFormat="1" applyFont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center" vertical="center" wrapText="1"/>
    </xf>
    <xf numFmtId="173" fontId="21" fillId="0" borderId="9" xfId="0" applyNumberFormat="1" applyFont="1" applyBorder="1" applyAlignment="1">
      <alignment horizontal="center" vertical="center"/>
    </xf>
    <xf numFmtId="173" fontId="21" fillId="0" borderId="23" xfId="0" applyNumberFormat="1" applyFont="1" applyBorder="1" applyAlignment="1">
      <alignment horizontal="center" vertical="center"/>
    </xf>
    <xf numFmtId="173" fontId="21" fillId="0" borderId="25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textRotation="90"/>
    </xf>
    <xf numFmtId="0" fontId="21" fillId="2" borderId="8" xfId="0" applyFont="1" applyFill="1" applyBorder="1" applyAlignment="1">
      <alignment horizontal="center" vertical="center" textRotation="90"/>
    </xf>
    <xf numFmtId="0" fontId="21" fillId="2" borderId="4" xfId="0" applyFont="1" applyFill="1" applyBorder="1" applyAlignment="1">
      <alignment horizontal="center" vertical="center" textRotation="90"/>
    </xf>
    <xf numFmtId="0" fontId="18" fillId="0" borderId="1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1" fillId="10" borderId="0" xfId="0" applyFont="1" applyFill="1" applyAlignment="1">
      <alignment horizontal="left"/>
    </xf>
    <xf numFmtId="0" fontId="21" fillId="10" borderId="0" xfId="0" applyFont="1" applyFill="1" applyAlignment="1">
      <alignment horizontal="justify"/>
    </xf>
    <xf numFmtId="0" fontId="21" fillId="10" borderId="0" xfId="0" applyFont="1" applyFill="1" applyAlignment="1">
      <alignment horizontal="center"/>
    </xf>
    <xf numFmtId="0" fontId="21" fillId="0" borderId="2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0" xfId="0" applyFont="1" applyAlignment="1">
      <alignment horizontal="justify" vertical="top" wrapText="1"/>
    </xf>
    <xf numFmtId="0" fontId="18" fillId="11" borderId="1" xfId="0" applyFont="1" applyFill="1" applyBorder="1" applyAlignment="1">
      <alignment horizontal="center" wrapText="1"/>
    </xf>
    <xf numFmtId="0" fontId="18" fillId="11" borderId="3" xfId="0" applyFont="1" applyFill="1" applyBorder="1" applyAlignment="1">
      <alignment horizontal="center" wrapText="1"/>
    </xf>
    <xf numFmtId="0" fontId="44" fillId="0" borderId="0" xfId="0" applyFont="1" applyAlignment="1">
      <alignment horizontal="justify" wrapText="1"/>
    </xf>
    <xf numFmtId="0" fontId="18" fillId="11" borderId="1" xfId="0" applyFont="1" applyFill="1" applyBorder="1" applyAlignment="1">
      <alignment horizontal="center"/>
    </xf>
    <xf numFmtId="0" fontId="18" fillId="11" borderId="3" xfId="0" applyFont="1" applyFill="1" applyBorder="1" applyAlignment="1">
      <alignment horizontal="center"/>
    </xf>
    <xf numFmtId="0" fontId="18" fillId="12" borderId="1" xfId="0" applyFont="1" applyFill="1" applyBorder="1" applyAlignment="1">
      <alignment horizontal="center"/>
    </xf>
    <xf numFmtId="0" fontId="18" fillId="12" borderId="3" xfId="0" applyFont="1" applyFill="1" applyBorder="1" applyAlignment="1">
      <alignment horizontal="center"/>
    </xf>
    <xf numFmtId="0" fontId="18" fillId="13" borderId="1" xfId="0" applyFont="1" applyFill="1" applyBorder="1" applyAlignment="1">
      <alignment horizontal="center"/>
    </xf>
    <xf numFmtId="0" fontId="18" fillId="13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User\Desktop\Economy\&#1060;&#1061;&#1044;%202016-2018\&#1055;&#1088;&#1077;&#1076;&#1074;&#1072;&#1088;&#1080;&#1090;&#1077;&#1083;&#1100;&#1085;&#1099;&#1077;%20&#1080;&#1090;&#1086;&#1075;&#1080;\&#1087;&#1088;&#1077;&#1076;&#1074;&#1072;&#1088;&#1080;&#1090;&#1077;&#1083;&#1100;&#1085;&#1099;&#1081;%202018\&#1092;&#1093;&#1076;%20&#1087;&#1088;&#1077;&#1076;&#1074;&#1072;&#1088;-&#1081;%20&#1080;&#1090;&#1086;&#1075;%204%20&#1082;&#1074;%20201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User\Desktop\Economy\&#1060;&#1061;&#1044;%202016-2018\&#1060;&#1061;&#1044;%202%20&#1082;&#1074;%202018\&#1079;&#1087;%202%20&#1082;&#1074;\&#1079;&#1087;%202%20&#1082;&#1074;&#1072;&#1088;&#1090;&#1072;&#1083;%202018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User\Desktop\Economy\&#1060;&#1061;&#1044;%202016-2018\&#1055;&#1051;&#1040;&#1053;%202018\&#1055;&#1051;&#1040;&#1053;%20&#1055;&#1051;&#1040;&#1053;&#1040;%202018%20%20\&#1055;&#1083;&#1072;&#1085;%202018%20&#1082;&#1086;&#1088;&#1088;\&#1087;&#1083;&#1072;&#1085;%202018-2020_&#1082;&#1086;&#1088;&#108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4;&#1074;&#1089;&#1103;&#1085;&#1085;&#1080;&#1082;&#1086;&#1074;&#1072;%20&#1058;.&#1057;\&#1055;&#1088;&#1077;&#1076;&#1074;&#1072;&#1088;&#1080;&#1090;&#1077;&#1083;&#1100;&#1085;&#1099;&#1077;%20&#1080;&#1090;&#1086;&#1075;&#1080;%202019\&#1092;&#1093;&#1076;%20&#1087;&#1088;&#1077;&#1076;&#1074;&#1072;&#1088;-&#1081;%20&#1080;&#1090;&#1086;&#1075;%204%20&#1082;&#1074;%202018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4;&#1074;&#1089;&#1103;&#1085;&#1085;&#1080;&#1082;&#1086;&#1074;&#1072;%20&#1058;.&#1057;\&#1055;&#1088;&#1077;&#1076;&#1074;&#1072;&#1088;&#1080;&#1090;&#1077;&#1083;&#1100;&#1085;&#1099;&#1077;%20&#1080;&#1090;&#1086;&#1075;&#1080;%202019\&#1044;&#1086;&#1093;&#1086;&#1076;&#1099;%202019-2021%20&#1087;&#1083;&#1072;&#1085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4;&#1074;&#1089;&#1103;&#1085;&#1085;&#1080;&#1082;&#1086;&#1074;&#1072;%20&#1058;.&#1057;\&#1055;&#1088;&#1077;&#1076;&#1074;&#1072;&#1088;&#1080;&#1090;&#1077;&#1083;&#1100;&#1085;&#1099;&#1077;%20&#1080;&#1090;&#1086;&#1075;&#1080;%202019\&#1073;&#1077;&#1085;&#1079;&#1080;&#1085;,%20&#1044;&#1058;%202019%20&#1087;&#1083;&#1072;&#1085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User\Desktop\Economy\&#1040;&#1085;&#1072;&#1083;&#1080;&#1090;&#1080;&#1095;&#1077;&#1089;&#1082;&#1072;&#1103;%20&#1073;&#1072;&#1079;&#1072;\&#1050;&#1059;\&#1056;&#1072;&#1089;&#1095;&#1077;&#1090;%20V%20&#1087;&#1086;%20&#1087;&#1086;&#1076;&#1088;&#1072;&#1079;&#1076;&#1077;&#1083;&#1077;&#1085;&#1080;&#1103;&#1084;%202019%20&#1087;&#1083;&#1072;&#1085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4;&#1074;&#1089;&#1103;&#1085;&#1085;&#1080;&#1082;&#1086;&#1074;&#1072;%20&#1058;.&#1057;\&#1055;&#1088;&#1077;&#1076;&#1074;&#1072;&#1088;&#1080;&#1090;&#1077;&#1083;&#1100;&#1085;&#1099;&#1077;%20&#1080;&#1090;&#1086;&#1075;&#1080;%202019\&#1042;&#1089;&#1087;&#1086;&#1084;&#1086;&#1075;&#1072;&#1090;&#1077;&#1083;&#1100;&#1085;&#1099;&#1081;%20&#1084;&#1072;&#1090;&#1077;&#1088;&#1080;&#1072;&#1083;\!!!2019_&#1040;&#1084;&#1086;&#1088;&#1090;&#1080;&#1079;&#1072;&#1094;&#1080;&#1103;201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User\Desktop\Economy\&#1060;&#1061;&#1044;%202016-2018\&#1054;&#1057;&#1042;%20201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4;&#1074;&#1089;&#1103;&#1085;&#1085;&#1080;&#1082;&#1086;&#1074;&#1072;%20&#1058;.&#1057;\&#1055;&#1088;&#1077;&#1076;&#1074;&#1072;&#1088;&#1080;&#1090;&#1077;&#1083;&#1100;&#1085;&#1099;&#1077;%20&#1080;&#1090;&#1086;&#1075;&#1080;%202019\&#1087;&#1083;&#1072;&#1085;%202018-20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User\Desktop\Economy\&#1060;&#1061;&#1044;%202016-2018\&#1060;&#1061;&#1044;%201%20&#1082;&#1074;%202018\&#1079;&#1087;%201%20&#1082;&#1074;\&#1103;&#1085;&#1074;-&#1084;&#1072;&#1088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Раздел 1"/>
      <sheetName val="Раздел 2"/>
      <sheetName val="Раздел 3"/>
      <sheetName val="Раздел 4"/>
      <sheetName val="Раздел 5"/>
      <sheetName val="Раздел 6"/>
      <sheetName val="Показатели ЭД"/>
      <sheetName val="Тр-й налог"/>
      <sheetName val="Загрязнение"/>
    </sheetNames>
    <sheetDataSet>
      <sheetData sheetId="0">
        <row r="119">
          <cell r="N119">
            <v>41142.677479999998</v>
          </cell>
        </row>
      </sheetData>
      <sheetData sheetId="1">
        <row r="119">
          <cell r="N119">
            <v>41142.677479999998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рель"/>
      <sheetName val="май"/>
      <sheetName val="июнь"/>
      <sheetName val="июнь 2"/>
    </sheetNames>
    <sheetDataSet>
      <sheetData sheetId="0">
        <row r="6">
          <cell r="H6">
            <v>6053.43</v>
          </cell>
        </row>
        <row r="7">
          <cell r="H7">
            <v>24213.72</v>
          </cell>
        </row>
        <row r="8">
          <cell r="H8">
            <v>74678.58</v>
          </cell>
        </row>
        <row r="9">
          <cell r="H9">
            <v>89545.51</v>
          </cell>
        </row>
        <row r="49">
          <cell r="H49">
            <v>89545.51</v>
          </cell>
        </row>
        <row r="54">
          <cell r="H54">
            <v>67632.44</v>
          </cell>
        </row>
      </sheetData>
      <sheetData sheetId="1">
        <row r="8">
          <cell r="I8">
            <v>46830.91</v>
          </cell>
        </row>
        <row r="9">
          <cell r="I9">
            <v>78051.509999999995</v>
          </cell>
        </row>
        <row r="54">
          <cell r="I54">
            <v>78051.509999999995</v>
          </cell>
        </row>
        <row r="60">
          <cell r="I60">
            <v>71014.06</v>
          </cell>
        </row>
      </sheetData>
      <sheetData sheetId="2">
        <row r="6">
          <cell r="H6">
            <v>6053.43</v>
          </cell>
        </row>
        <row r="8">
          <cell r="I8">
            <v>101434.84</v>
          </cell>
        </row>
        <row r="10">
          <cell r="I10">
            <v>101434.84</v>
          </cell>
        </row>
        <row r="54">
          <cell r="I54">
            <v>137543.57999999999</v>
          </cell>
        </row>
        <row r="60">
          <cell r="I60">
            <v>92289.14</v>
          </cell>
        </row>
      </sheetData>
      <sheetData sheetId="3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2"/>
    </sheetNames>
    <sheetDataSet>
      <sheetData sheetId="0">
        <row r="11">
          <cell r="G11">
            <v>600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Раздел 1"/>
      <sheetName val="Раздел 2"/>
      <sheetName val="Раздел 3"/>
      <sheetName val="Раздел 4"/>
      <sheetName val="Раздел 5"/>
      <sheetName val="Раздел 6"/>
      <sheetName val="Показатели ЭД"/>
      <sheetName val="Тр-й налог"/>
      <sheetName val="Загрязн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7">
          <cell r="S27">
            <v>907.17399999999998</v>
          </cell>
        </row>
        <row r="28">
          <cell r="S28">
            <v>6372.7769900000003</v>
          </cell>
        </row>
        <row r="29">
          <cell r="S29">
            <v>3022.60490505085</v>
          </cell>
        </row>
        <row r="30">
          <cell r="S30">
            <v>1298.8367464488299</v>
          </cell>
        </row>
        <row r="71">
          <cell r="S71">
            <v>4399.5947200000001</v>
          </cell>
        </row>
        <row r="72">
          <cell r="S72">
            <v>8812.285022</v>
          </cell>
        </row>
        <row r="73">
          <cell r="S73">
            <v>4.4000000000000004</v>
          </cell>
        </row>
        <row r="82">
          <cell r="S82">
            <v>68.976999999999904</v>
          </cell>
        </row>
      </sheetData>
      <sheetData sheetId="7" refreshError="1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Аренда "/>
      <sheetName val="Возмещение КУ"/>
      <sheetName val="Водный тр-т"/>
      <sheetName val="заселяемость гостиницы"/>
      <sheetName val="сауна"/>
    </sheetNames>
    <sheetDataSet>
      <sheetData sheetId="0" refreshError="1"/>
      <sheetData sheetId="1" refreshError="1">
        <row r="37">
          <cell r="C37">
            <v>3303.22</v>
          </cell>
        </row>
        <row r="39">
          <cell r="U39">
            <v>1565732.8220339001</v>
          </cell>
          <cell r="V39">
            <v>1565732.8220339001</v>
          </cell>
          <cell r="W39">
            <v>1565732.8220339001</v>
          </cell>
          <cell r="X39">
            <v>1565732.8220339001</v>
          </cell>
          <cell r="Y39">
            <v>6262931.28813559</v>
          </cell>
        </row>
      </sheetData>
      <sheetData sheetId="2" refreshError="1">
        <row r="28">
          <cell r="AF28">
            <v>149569.16846628499</v>
          </cell>
          <cell r="AH28">
            <v>123257.684204855</v>
          </cell>
          <cell r="AJ28">
            <v>82453.366636655002</v>
          </cell>
          <cell r="AL28">
            <v>129565.648368448</v>
          </cell>
          <cell r="AN28">
            <v>484845.86767624301</v>
          </cell>
        </row>
      </sheetData>
      <sheetData sheetId="3" refreshError="1">
        <row r="6">
          <cell r="R6">
            <v>64679355.932203397</v>
          </cell>
          <cell r="T6">
            <v>500</v>
          </cell>
        </row>
        <row r="9">
          <cell r="T9">
            <v>1563</v>
          </cell>
        </row>
        <row r="10">
          <cell r="R10">
            <v>68488863.059322</v>
          </cell>
        </row>
        <row r="16">
          <cell r="R16">
            <v>0</v>
          </cell>
        </row>
      </sheetData>
      <sheetData sheetId="4" refreshError="1">
        <row r="28">
          <cell r="AF28">
            <v>149569.16846628502</v>
          </cell>
        </row>
        <row r="58">
          <cell r="BF58">
            <v>3053.5219999999999</v>
          </cell>
          <cell r="BG58">
            <v>2748.5836610169499</v>
          </cell>
          <cell r="BH58">
            <v>1950.21822033898</v>
          </cell>
          <cell r="BI58">
            <v>3050.1898305084801</v>
          </cell>
        </row>
      </sheetData>
      <sheetData sheetId="5" refreshError="1">
        <row r="14">
          <cell r="BD14">
            <v>508</v>
          </cell>
          <cell r="BF14">
            <v>526</v>
          </cell>
          <cell r="BH14">
            <v>393.5</v>
          </cell>
          <cell r="BJ14">
            <v>507</v>
          </cell>
        </row>
        <row r="16">
          <cell r="BE16">
            <v>452227.12711864401</v>
          </cell>
          <cell r="BG16">
            <v>429322.03389830497</v>
          </cell>
          <cell r="BI16">
            <v>337118.64406779699</v>
          </cell>
          <cell r="BK16">
            <v>461059.32203389797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нзин"/>
      <sheetName val="ДТ"/>
      <sheetName val="Лист3"/>
    </sheetNames>
    <sheetDataSet>
      <sheetData sheetId="0" refreshError="1">
        <row r="23">
          <cell r="M23">
            <v>77641.607999999993</v>
          </cell>
        </row>
      </sheetData>
      <sheetData sheetId="1" refreshError="1">
        <row r="23">
          <cell r="M23">
            <v>77641.608000000007</v>
          </cell>
        </row>
        <row r="28">
          <cell r="AW28">
            <v>2834579.3126400001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У Дудинка 2016"/>
      <sheetName val="Таймырбыт2016"/>
      <sheetName val="НТЭК 2016"/>
      <sheetName val="план ФХД 2017"/>
      <sheetName val="Дудинка 2017"/>
      <sheetName val="Норильск 2017"/>
      <sheetName val="Потапово 2017"/>
      <sheetName val="Топливо 2017"/>
      <sheetName val="Дудинка, Ленина 2019"/>
      <sheetName val="Дудинка, гостиница 2019"/>
      <sheetName val="Норильск 2018"/>
      <sheetName val="регфонд 201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0">
          <cell r="J20">
            <v>7850.2060199999996</v>
          </cell>
          <cell r="O20">
            <v>919.99397999999997</v>
          </cell>
        </row>
        <row r="21">
          <cell r="J21">
            <v>4786.5962298719996</v>
          </cell>
          <cell r="O21">
            <v>560.95849012799999</v>
          </cell>
        </row>
        <row r="22">
          <cell r="J22">
            <v>8330.8742187440002</v>
          </cell>
          <cell r="O22">
            <v>976.32522125599996</v>
          </cell>
        </row>
        <row r="23">
          <cell r="J23">
            <v>4004.9210104160002</v>
          </cell>
          <cell r="O23">
            <v>469.35114958399998</v>
          </cell>
        </row>
        <row r="43">
          <cell r="J43">
            <v>34155.445099500001</v>
          </cell>
          <cell r="O43">
            <v>4002.7999005000001</v>
          </cell>
        </row>
        <row r="44">
          <cell r="J44">
            <v>15754.059070812</v>
          </cell>
          <cell r="O44">
            <v>1846.2750491879999</v>
          </cell>
        </row>
        <row r="45">
          <cell r="J45">
            <v>3375.72262051596</v>
          </cell>
          <cell r="O45">
            <v>395.61311908404002</v>
          </cell>
        </row>
        <row r="46">
          <cell r="J46">
            <v>30251.668099239199</v>
          </cell>
          <cell r="O46">
            <v>3545.3021825608198</v>
          </cell>
        </row>
        <row r="68">
          <cell r="J68">
            <v>10041.629000625</v>
          </cell>
          <cell r="O68">
            <v>1176.814749375</v>
          </cell>
        </row>
        <row r="69">
          <cell r="J69">
            <v>4255.6392722999999</v>
          </cell>
          <cell r="O69">
            <v>498.73372769999997</v>
          </cell>
        </row>
        <row r="70">
          <cell r="J70">
            <v>1405.6574226990001</v>
          </cell>
          <cell r="O70">
            <v>164.73406730100001</v>
          </cell>
        </row>
        <row r="71">
          <cell r="J71">
            <v>7060.6403436671999</v>
          </cell>
          <cell r="O71">
            <v>827.46192833279997</v>
          </cell>
        </row>
        <row r="91">
          <cell r="J91">
            <v>14152.672628442</v>
          </cell>
          <cell r="O91">
            <v>1658.602791558</v>
          </cell>
        </row>
        <row r="92">
          <cell r="J92">
            <v>5996.8002789450002</v>
          </cell>
          <cell r="O92">
            <v>702.78667105500006</v>
          </cell>
        </row>
        <row r="93">
          <cell r="J93">
            <v>1980.58131371531</v>
          </cell>
          <cell r="O93">
            <v>232.11147336469199</v>
          </cell>
        </row>
        <row r="94">
          <cell r="J94">
            <v>9950.1194723599801</v>
          </cell>
          <cell r="O94">
            <v>1166.09041744002</v>
          </cell>
        </row>
        <row r="113">
          <cell r="J113">
            <v>16568.493929854001</v>
          </cell>
          <cell r="O113">
            <v>1941.7216101460001</v>
          </cell>
        </row>
        <row r="114">
          <cell r="J114">
            <v>1186.0639987120001</v>
          </cell>
          <cell r="O114">
            <v>138.999121288</v>
          </cell>
        </row>
        <row r="115">
          <cell r="J115">
            <v>2807.5770769897999</v>
          </cell>
          <cell r="O115">
            <v>329.03009203019798</v>
          </cell>
        </row>
        <row r="116">
          <cell r="J116">
            <v>7173.6270445661203</v>
          </cell>
          <cell r="O116">
            <v>840.70324765387795</v>
          </cell>
        </row>
        <row r="135">
          <cell r="J135">
            <v>27866.476921294001</v>
          </cell>
          <cell r="O135">
            <v>3265.7730187060001</v>
          </cell>
        </row>
        <row r="136">
          <cell r="J136">
            <v>5487.139370504</v>
          </cell>
          <cell r="O136">
            <v>643.05766949600002</v>
          </cell>
        </row>
        <row r="137">
          <cell r="J137">
            <v>4429.8505223809298</v>
          </cell>
          <cell r="O137">
            <v>519.15017293906806</v>
          </cell>
        </row>
        <row r="138">
          <cell r="J138">
            <v>14744.0938121037</v>
          </cell>
          <cell r="O138">
            <v>1727.9135748962999</v>
          </cell>
        </row>
      </sheetData>
      <sheetData sheetId="9" refreshError="1">
        <row r="20">
          <cell r="J20">
            <v>13423.2</v>
          </cell>
          <cell r="O20">
            <v>19950.560000000001</v>
          </cell>
          <cell r="T20">
            <v>11280</v>
          </cell>
        </row>
        <row r="21">
          <cell r="J21">
            <v>11700.20256</v>
          </cell>
          <cell r="O21">
            <v>24462.560000000001</v>
          </cell>
          <cell r="T21">
            <v>11294.4102</v>
          </cell>
        </row>
        <row r="22">
          <cell r="J22">
            <v>11871.286319999999</v>
          </cell>
          <cell r="O22">
            <v>23072.818879999999</v>
          </cell>
          <cell r="T22">
            <v>15156.646479999999</v>
          </cell>
        </row>
        <row r="23">
          <cell r="J23">
            <v>12780.804</v>
          </cell>
          <cell r="O23">
            <v>23183.784</v>
          </cell>
          <cell r="T23">
            <v>11889.12</v>
          </cell>
        </row>
        <row r="43">
          <cell r="J43">
            <v>179044.74098999999</v>
          </cell>
          <cell r="O43">
            <v>12553.43706</v>
          </cell>
          <cell r="T43">
            <v>12553.43706</v>
          </cell>
        </row>
        <row r="44">
          <cell r="J44">
            <v>174806.04806999999</v>
          </cell>
          <cell r="O44">
            <v>12096.789210000001</v>
          </cell>
          <cell r="T44">
            <v>12176.858969999999</v>
          </cell>
        </row>
        <row r="45">
          <cell r="J45">
            <v>88865.065324259995</v>
          </cell>
          <cell r="O45">
            <v>9190.9825541999999</v>
          </cell>
          <cell r="T45">
            <v>7060.0459964399997</v>
          </cell>
        </row>
        <row r="46">
          <cell r="J46">
            <v>153941.70521412001</v>
          </cell>
          <cell r="O46">
            <v>11041.04690478</v>
          </cell>
          <cell r="T46">
            <v>11041.04690478</v>
          </cell>
        </row>
        <row r="68">
          <cell r="J68">
            <v>4580.7780000000002</v>
          </cell>
          <cell r="O68">
            <v>8111.5725000000002</v>
          </cell>
          <cell r="T68">
            <v>1893.8362500000001</v>
          </cell>
        </row>
        <row r="69">
          <cell r="J69">
            <v>5935.0852500000001</v>
          </cell>
          <cell r="O69">
            <v>8952.9225000000006</v>
          </cell>
          <cell r="T69">
            <v>1485.5152499999999</v>
          </cell>
        </row>
        <row r="70">
          <cell r="J70">
            <v>4124.1017400000001</v>
          </cell>
          <cell r="O70">
            <v>6664.3418700000002</v>
          </cell>
          <cell r="T70">
            <v>2426.3053650000002</v>
          </cell>
        </row>
        <row r="71">
          <cell r="J71">
            <v>5069.3112854999999</v>
          </cell>
          <cell r="O71">
            <v>8216.7731999999996</v>
          </cell>
          <cell r="T71">
            <v>1996.1034075</v>
          </cell>
        </row>
        <row r="91">
          <cell r="J91">
            <v>6574.4779500000004</v>
          </cell>
          <cell r="O91">
            <v>11433.711509999999</v>
          </cell>
          <cell r="T91">
            <v>2668.5749700000001</v>
          </cell>
        </row>
        <row r="92">
          <cell r="J92">
            <v>8790.15834</v>
          </cell>
          <cell r="O92">
            <v>12619.74483</v>
          </cell>
          <cell r="T92">
            <v>2093.07357</v>
          </cell>
        </row>
        <row r="93">
          <cell r="J93">
            <v>5812.6041748799998</v>
          </cell>
          <cell r="O93">
            <v>9392.7358297800001</v>
          </cell>
          <cell r="T93">
            <v>3420.5751428399999</v>
          </cell>
        </row>
        <row r="94">
          <cell r="J94">
            <v>7334.3249593199998</v>
          </cell>
          <cell r="O94">
            <v>11583.01158624</v>
          </cell>
          <cell r="T94">
            <v>2812.6780183800001</v>
          </cell>
        </row>
        <row r="113">
          <cell r="J113">
            <v>20526.248800000001</v>
          </cell>
          <cell r="O113">
            <v>17529.5213</v>
          </cell>
          <cell r="T113">
            <v>1694.0852400000001</v>
          </cell>
        </row>
        <row r="114">
          <cell r="J114">
            <v>23466.875619999999</v>
          </cell>
          <cell r="O114">
            <v>18679.197</v>
          </cell>
          <cell r="T114">
            <v>1436.34241</v>
          </cell>
        </row>
        <row r="115">
          <cell r="J115">
            <v>24060.740141800001</v>
          </cell>
          <cell r="O115">
            <v>17728.2933858</v>
          </cell>
          <cell r="T115">
            <v>2057.2779363999998</v>
          </cell>
        </row>
        <row r="116">
          <cell r="J116">
            <v>23476.6000614</v>
          </cell>
          <cell r="O116">
            <v>18630.590322600001</v>
          </cell>
          <cell r="T116">
            <v>1785.5658429600001</v>
          </cell>
        </row>
        <row r="135">
          <cell r="J135">
            <v>26762.378720000001</v>
          </cell>
          <cell r="O135">
            <v>27001.933199999999</v>
          </cell>
          <cell r="T135">
            <v>3705.4703399999999</v>
          </cell>
        </row>
        <row r="136">
          <cell r="J136">
            <v>31285.678380000001</v>
          </cell>
          <cell r="O136">
            <v>29078.3174</v>
          </cell>
          <cell r="T136">
            <v>3023.0345200000002</v>
          </cell>
        </row>
        <row r="137">
          <cell r="J137">
            <v>30140.905568400001</v>
          </cell>
          <cell r="O137">
            <v>25788.272175599999</v>
          </cell>
          <cell r="T137">
            <v>4624.7422539999998</v>
          </cell>
        </row>
        <row r="138">
          <cell r="J138">
            <v>30441.333702119999</v>
          </cell>
          <cell r="O138">
            <v>28298.767371599999</v>
          </cell>
          <cell r="T138">
            <v>3905.5657383600001</v>
          </cell>
        </row>
        <row r="158">
          <cell r="J158">
            <v>37482.845487999999</v>
          </cell>
          <cell r="O158">
            <v>2555.6485560000001</v>
          </cell>
          <cell r="T158">
            <v>2555.6485560000001</v>
          </cell>
        </row>
        <row r="159">
          <cell r="J159">
            <v>37482.845487999999</v>
          </cell>
          <cell r="O159">
            <v>2555.6485560000001</v>
          </cell>
          <cell r="T159">
            <v>2555.6485560000001</v>
          </cell>
        </row>
        <row r="160">
          <cell r="J160">
            <v>37482.845487999999</v>
          </cell>
          <cell r="O160">
            <v>2555.6485560000001</v>
          </cell>
          <cell r="T160">
            <v>2555.6485560000001</v>
          </cell>
        </row>
        <row r="161">
          <cell r="J161">
            <v>37482.845487999999</v>
          </cell>
          <cell r="O161">
            <v>2555.6485560000001</v>
          </cell>
          <cell r="T161">
            <v>2555.6485560000001</v>
          </cell>
        </row>
        <row r="180">
          <cell r="J180">
            <v>14608.44</v>
          </cell>
          <cell r="O180">
            <v>996.03</v>
          </cell>
          <cell r="T180">
            <v>996.03</v>
          </cell>
        </row>
        <row r="181">
          <cell r="J181">
            <v>14608.44</v>
          </cell>
          <cell r="O181">
            <v>996.03</v>
          </cell>
          <cell r="T181">
            <v>996.03</v>
          </cell>
        </row>
        <row r="182">
          <cell r="J182">
            <v>14608.44</v>
          </cell>
          <cell r="O182">
            <v>996.03</v>
          </cell>
          <cell r="T182">
            <v>996.03</v>
          </cell>
        </row>
        <row r="183">
          <cell r="J183">
            <v>14608.44</v>
          </cell>
          <cell r="O183">
            <v>996.03</v>
          </cell>
          <cell r="T183">
            <v>996.03</v>
          </cell>
        </row>
        <row r="203">
          <cell r="C203">
            <v>4528.53</v>
          </cell>
          <cell r="K203">
            <v>18552</v>
          </cell>
        </row>
        <row r="204">
          <cell r="C204">
            <v>4528.53</v>
          </cell>
          <cell r="K204">
            <v>18552</v>
          </cell>
        </row>
        <row r="205">
          <cell r="C205">
            <v>4705.1426700000002</v>
          </cell>
          <cell r="K205">
            <v>19294.080000000002</v>
          </cell>
        </row>
        <row r="206">
          <cell r="C206">
            <v>4705.1426700000002</v>
          </cell>
          <cell r="K206">
            <v>19294.080000000002</v>
          </cell>
        </row>
      </sheetData>
      <sheetData sheetId="10" refreshError="1">
        <row r="19">
          <cell r="J19">
            <v>491387.88</v>
          </cell>
          <cell r="O19">
            <v>99256.38</v>
          </cell>
        </row>
        <row r="20">
          <cell r="J20">
            <v>272700.53999999998</v>
          </cell>
          <cell r="O20">
            <v>83805.960000000006</v>
          </cell>
        </row>
        <row r="21">
          <cell r="J21">
            <v>71751.155400000003</v>
          </cell>
          <cell r="O21">
            <v>41539.13076</v>
          </cell>
        </row>
        <row r="22">
          <cell r="J22">
            <v>286517.98979999998</v>
          </cell>
          <cell r="O22">
            <v>84007.0674</v>
          </cell>
        </row>
        <row r="47">
          <cell r="E47">
            <v>3965.9333999999999</v>
          </cell>
          <cell r="M47">
            <v>9282</v>
          </cell>
        </row>
        <row r="48">
          <cell r="E48">
            <v>3965.9333999999999</v>
          </cell>
          <cell r="M48">
            <v>9282</v>
          </cell>
        </row>
        <row r="49">
          <cell r="E49">
            <v>3965.9333999999999</v>
          </cell>
          <cell r="M49">
            <v>9282</v>
          </cell>
        </row>
        <row r="50">
          <cell r="E50">
            <v>3965.9333999999999</v>
          </cell>
          <cell r="M50">
            <v>9282</v>
          </cell>
        </row>
        <row r="53">
          <cell r="U53">
            <v>1660.05</v>
          </cell>
        </row>
        <row r="74">
          <cell r="M74">
            <v>595.00161000000003</v>
          </cell>
          <cell r="U74">
            <v>9022.5792000000001</v>
          </cell>
          <cell r="AC74">
            <v>77.339250000000007</v>
          </cell>
          <cell r="AK74">
            <v>9.1027199999999997</v>
          </cell>
          <cell r="AS74">
            <v>40.518720000000002</v>
          </cell>
          <cell r="BA74">
            <v>53.328000000000003</v>
          </cell>
          <cell r="BI74">
            <v>17025.044399999999</v>
          </cell>
        </row>
        <row r="75">
          <cell r="M75">
            <v>595.00161000000003</v>
          </cell>
          <cell r="U75">
            <v>9022.5792000000001</v>
          </cell>
          <cell r="AC75">
            <v>77.339250000000007</v>
          </cell>
          <cell r="AK75">
            <v>9.1027199999999997</v>
          </cell>
          <cell r="AS75">
            <v>40.518720000000002</v>
          </cell>
          <cell r="BA75">
            <v>53.328000000000003</v>
          </cell>
          <cell r="BI75">
            <v>17025.044399999999</v>
          </cell>
        </row>
        <row r="76">
          <cell r="M76">
            <v>627.13169693999998</v>
          </cell>
          <cell r="U76">
            <v>9509.7984768000006</v>
          </cell>
          <cell r="AC76">
            <v>81.515569499999998</v>
          </cell>
          <cell r="AK76">
            <v>9.4668288</v>
          </cell>
          <cell r="AS76">
            <v>42.139468800000003</v>
          </cell>
          <cell r="BA76">
            <v>55.461120000000001</v>
          </cell>
          <cell r="BI76">
            <v>17025.044399999999</v>
          </cell>
        </row>
        <row r="77">
          <cell r="M77">
            <v>627.13169693999998</v>
          </cell>
          <cell r="U77">
            <v>9509.7984768000006</v>
          </cell>
          <cell r="AC77">
            <v>81.515569499999998</v>
          </cell>
          <cell r="AK77">
            <v>9.4668288</v>
          </cell>
          <cell r="AS77">
            <v>42.139468800000003</v>
          </cell>
          <cell r="BA77">
            <v>55.461120000000001</v>
          </cell>
          <cell r="BI77">
            <v>17025.044399999999</v>
          </cell>
        </row>
      </sheetData>
      <sheetData sheetId="11" refreshError="1">
        <row r="20">
          <cell r="E20">
            <v>3179.28</v>
          </cell>
        </row>
        <row r="21">
          <cell r="E21">
            <v>3179.28</v>
          </cell>
        </row>
        <row r="22">
          <cell r="E22">
            <v>3179.28</v>
          </cell>
        </row>
        <row r="23">
          <cell r="E23">
            <v>3179.28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DSheet"/>
    </sheetNames>
    <sheetDataSet>
      <sheetData sheetId="0" refreshError="1">
        <row r="687">
          <cell r="O687">
            <v>418917.18</v>
          </cell>
          <cell r="P687">
            <v>418917.18</v>
          </cell>
          <cell r="Q687">
            <v>418917.18</v>
          </cell>
          <cell r="R687">
            <v>418917.18</v>
          </cell>
          <cell r="S687">
            <v>418917.18</v>
          </cell>
          <cell r="T687">
            <v>418917.18</v>
          </cell>
          <cell r="U687">
            <v>418917.18</v>
          </cell>
          <cell r="V687">
            <v>418917.18</v>
          </cell>
          <cell r="W687">
            <v>418917.18</v>
          </cell>
          <cell r="X687">
            <v>418917.18</v>
          </cell>
          <cell r="Y687">
            <v>418917.18</v>
          </cell>
          <cell r="Z687">
            <v>418917.18</v>
          </cell>
        </row>
        <row r="691">
          <cell r="Q691">
            <v>539478.91238999995</v>
          </cell>
        </row>
        <row r="692">
          <cell r="Q692">
            <v>532566.77891999995</v>
          </cell>
        </row>
        <row r="693">
          <cell r="Q693">
            <v>525654.64544999995</v>
          </cell>
        </row>
        <row r="694">
          <cell r="Q694">
            <v>518742.51198000001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3"/>
      <sheetName val="20_3"/>
      <sheetName val="23_3"/>
      <sheetName val="26_3"/>
      <sheetName val="20_2"/>
      <sheetName val="23_2"/>
      <sheetName val="26_2"/>
      <sheetName val="20_1"/>
      <sheetName val="23_1"/>
      <sheetName val="26_1"/>
      <sheetName val="сс_1руб"/>
      <sheetName val="Раздел 2"/>
      <sheetName val="90.01_3"/>
      <sheetName val="90.01_2"/>
      <sheetName val="90.01_1"/>
      <sheetName val="91_9"/>
      <sheetName val="91_3"/>
      <sheetName val="91_2"/>
      <sheetName val="91_1"/>
      <sheetName val="99_3"/>
      <sheetName val="99_1_2"/>
      <sheetName val="70_3"/>
      <sheetName val="70_2"/>
      <sheetName val="70_1"/>
      <sheetName val="ОС_3"/>
      <sheetName val="ОС_2"/>
      <sheetName val="ОС_1"/>
      <sheetName val="ОСВ_3"/>
      <sheetName val="ОСВ_2"/>
      <sheetName val="ОСВ_1"/>
      <sheetName val="Раздел 1"/>
      <sheetName val="51_3"/>
      <sheetName val="51_2"/>
      <sheetName val="51_1"/>
      <sheetName val="13573040,98"/>
      <sheetName val="10109404,01"/>
      <sheetName val="4727754,62"/>
      <sheetName val="1848912,33"/>
      <sheetName val="р6"/>
      <sheetName val="66_2_3"/>
      <sheetName val="60_3"/>
      <sheetName val="60_2"/>
      <sheetName val="60_1"/>
      <sheetName val="68_3"/>
      <sheetName val="68_2"/>
      <sheetName val="68_1"/>
      <sheetName val="69_3"/>
      <sheetName val="69_2"/>
      <sheetName val="69_1"/>
      <sheetName val="76_3"/>
      <sheetName val="76_2"/>
      <sheetName val="76_1"/>
      <sheetName val="71_3"/>
      <sheetName val="71_2"/>
      <sheetName val="71_1"/>
      <sheetName val="62_3"/>
      <sheetName val="62_2"/>
      <sheetName val="62_1"/>
      <sheetName val="58_1_2_3"/>
      <sheetName val="73_3"/>
      <sheetName val="73_2"/>
      <sheetName val="73_1"/>
      <sheetName val="84_2"/>
    </sheetNames>
    <sheetDataSet>
      <sheetData sheetId="0">
        <row r="14">
          <cell r="M14">
            <v>309.07254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>
        <row r="14">
          <cell r="M14">
            <v>309.07254</v>
          </cell>
        </row>
        <row r="17">
          <cell r="L17">
            <v>28024.46</v>
          </cell>
        </row>
      </sheetData>
      <sheetData sheetId="6" refreshError="1"/>
      <sheetData sheetId="7"/>
      <sheetData sheetId="8" refreshError="1">
        <row r="18">
          <cell r="L18">
            <v>12475.73</v>
          </cell>
        </row>
      </sheetData>
      <sheetData sheetId="9"/>
      <sheetData sheetId="10" refreshError="1"/>
      <sheetData sheetId="11"/>
      <sheetData sheetId="12" refreshError="1"/>
      <sheetData sheetId="13" refreshError="1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/>
      <sheetData sheetId="46" refreshError="1"/>
      <sheetData sheetId="47" refreshError="1"/>
      <sheetData sheetId="48"/>
      <sheetData sheetId="49" refreshError="1"/>
      <sheetData sheetId="50" refreshError="1"/>
      <sheetData sheetId="51"/>
      <sheetData sheetId="52" refreshError="1"/>
      <sheetData sheetId="53" refreshError="1"/>
      <sheetData sheetId="54"/>
      <sheetData sheetId="55" refreshError="1"/>
      <sheetData sheetId="56" refreshError="1"/>
      <sheetData sheetId="57"/>
      <sheetData sheetId="58" refreshError="1"/>
      <sheetData sheetId="59" refreshError="1"/>
      <sheetData sheetId="60" refreshError="1"/>
      <sheetData sheetId="61"/>
      <sheetData sheetId="6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Раздел 1"/>
      <sheetName val="Раздел 2"/>
      <sheetName val="Раздел 3"/>
      <sheetName val="Раздел 4"/>
      <sheetName val="Раздел 5"/>
      <sheetName val="Раздел 6"/>
      <sheetName val="Показатели ЭД"/>
      <sheetName val="Тр-й налог"/>
      <sheetName val="Загрязнение"/>
      <sheetName val="Водный тр-т"/>
      <sheetName val="Аренда"/>
      <sheetName val="Возм КУ"/>
      <sheetName val="Прайс"/>
      <sheetName val="гостиница"/>
      <sheetName val="сауна"/>
      <sheetName val="себестоимость"/>
      <sheetName val="Расходы на персонал"/>
      <sheetName val="Новогод подарки детям"/>
      <sheetName val="Амортиз-я, налог на имущ-во"/>
      <sheetName val="Питание, суда"/>
    </sheetNames>
    <sheetDataSet>
      <sheetData sheetId="0">
        <row r="107">
          <cell r="AT107">
            <v>7309.634600000004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>
        <row r="107">
          <cell r="AT107">
            <v>7309.6346000000003</v>
          </cell>
        </row>
        <row r="108">
          <cell r="AT108">
            <v>51326.301076076299</v>
          </cell>
        </row>
      </sheetData>
      <sheetData sheetId="18"/>
      <sheetData sheetId="19"/>
      <sheetData sheetId="2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"/>
      <sheetName val="фев"/>
      <sheetName val="март"/>
    </sheetNames>
    <sheetDataSet>
      <sheetData sheetId="0" refreshError="1"/>
      <sheetData sheetId="1">
        <row r="5">
          <cell r="K5">
            <v>3500</v>
          </cell>
        </row>
        <row r="6">
          <cell r="K6">
            <v>53403.67</v>
          </cell>
        </row>
        <row r="7">
          <cell r="K7">
            <v>3500</v>
          </cell>
        </row>
        <row r="8">
          <cell r="K8">
            <v>53403.67</v>
          </cell>
        </row>
        <row r="48">
          <cell r="K48">
            <v>3500</v>
          </cell>
        </row>
        <row r="52">
          <cell r="K52">
            <v>3500</v>
          </cell>
        </row>
      </sheetData>
      <sheetData sheetId="2">
        <row r="6">
          <cell r="K6">
            <v>50733.47</v>
          </cell>
        </row>
        <row r="7">
          <cell r="K7">
            <v>78051.509999999995</v>
          </cell>
        </row>
        <row r="72">
          <cell r="K72">
            <v>38338.39</v>
          </cell>
        </row>
        <row r="73">
          <cell r="K73">
            <v>6053.43</v>
          </cell>
        </row>
        <row r="74">
          <cell r="K74">
            <v>70246.34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sqref="A1:C1"/>
    </sheetView>
  </sheetViews>
  <sheetFormatPr defaultColWidth="8.85546875" defaultRowHeight="12.75" x14ac:dyDescent="0.25"/>
  <cols>
    <col min="1" max="1" width="3.140625" style="1" customWidth="1"/>
    <col min="2" max="3" width="50.7109375" style="2" customWidth="1"/>
    <col min="4" max="5" width="8.85546875" style="2" bestFit="1" customWidth="1"/>
    <col min="6" max="6" width="14.85546875" style="2" customWidth="1"/>
    <col min="7" max="7" width="8.85546875" style="2" bestFit="1" customWidth="1"/>
    <col min="8" max="16384" width="8.85546875" style="2"/>
  </cols>
  <sheetData>
    <row r="1" spans="1:3" ht="12.6" customHeight="1" x14ac:dyDescent="0.25">
      <c r="A1" s="494"/>
      <c r="B1" s="494"/>
      <c r="C1" s="494"/>
    </row>
    <row r="2" spans="1:3" ht="12.6" customHeight="1" x14ac:dyDescent="0.25">
      <c r="A2" s="494"/>
      <c r="B2" s="494"/>
      <c r="C2" s="494"/>
    </row>
    <row r="3" spans="1:3" ht="12.6" customHeight="1" x14ac:dyDescent="0.25">
      <c r="A3" s="494"/>
      <c r="B3" s="494"/>
      <c r="C3" s="494"/>
    </row>
    <row r="4" spans="1:3" ht="12.6" customHeight="1" x14ac:dyDescent="0.25">
      <c r="A4" s="494"/>
      <c r="B4" s="494"/>
      <c r="C4" s="494"/>
    </row>
    <row r="5" spans="1:3" ht="12.6" customHeight="1" x14ac:dyDescent="0.25"/>
    <row r="6" spans="1:3" ht="12.6" customHeight="1" x14ac:dyDescent="0.25">
      <c r="A6" s="495" t="s">
        <v>0</v>
      </c>
      <c r="B6" s="495"/>
      <c r="C6" s="495"/>
    </row>
    <row r="7" spans="1:3" ht="12.6" customHeight="1" x14ac:dyDescent="0.25">
      <c r="A7" s="495" t="s">
        <v>1</v>
      </c>
      <c r="B7" s="495"/>
      <c r="C7" s="495"/>
    </row>
    <row r="8" spans="1:3" ht="12.6" customHeight="1" x14ac:dyDescent="0.25">
      <c r="A8" s="495" t="s">
        <v>2</v>
      </c>
      <c r="B8" s="495"/>
      <c r="C8" s="495"/>
    </row>
    <row r="9" spans="1:3" ht="12.6" customHeight="1" x14ac:dyDescent="0.25">
      <c r="A9" s="495" t="s">
        <v>3</v>
      </c>
      <c r="B9" s="495"/>
      <c r="C9" s="495"/>
    </row>
    <row r="10" spans="1:3" ht="12.6" customHeight="1" x14ac:dyDescent="0.25">
      <c r="A10" s="495" t="s">
        <v>4</v>
      </c>
      <c r="B10" s="495"/>
      <c r="C10" s="495"/>
    </row>
    <row r="11" spans="1:3" ht="12.6" customHeight="1" x14ac:dyDescent="0.25">
      <c r="A11" s="495"/>
      <c r="B11" s="495"/>
      <c r="C11" s="495"/>
    </row>
    <row r="12" spans="1:3" ht="26.65" customHeight="1" x14ac:dyDescent="0.25"/>
    <row r="13" spans="1:3" ht="40.35" customHeight="1" x14ac:dyDescent="0.25">
      <c r="A13" s="496" t="s">
        <v>5</v>
      </c>
      <c r="B13" s="497"/>
      <c r="C13" s="498"/>
    </row>
    <row r="14" spans="1:3" ht="33.75" customHeight="1" x14ac:dyDescent="0.25">
      <c r="A14" s="5">
        <v>1</v>
      </c>
      <c r="B14" s="4" t="s">
        <v>6</v>
      </c>
      <c r="C14" s="6" t="s">
        <v>7</v>
      </c>
    </row>
    <row r="15" spans="1:3" ht="45" customHeight="1" x14ac:dyDescent="0.25">
      <c r="A15" s="7">
        <f>A14+1</f>
        <v>2</v>
      </c>
      <c r="B15" s="8" t="s">
        <v>8</v>
      </c>
      <c r="C15" s="6" t="s">
        <v>9</v>
      </c>
    </row>
    <row r="16" spans="1:3" ht="45" customHeight="1" x14ac:dyDescent="0.25">
      <c r="A16" s="7">
        <f>A15+1</f>
        <v>3</v>
      </c>
      <c r="B16" s="8" t="s">
        <v>10</v>
      </c>
      <c r="C16" s="6" t="s">
        <v>11</v>
      </c>
    </row>
    <row r="17" spans="1:6" ht="25.5" x14ac:dyDescent="0.25">
      <c r="A17" s="7">
        <v>4</v>
      </c>
      <c r="B17" s="8" t="s">
        <v>12</v>
      </c>
      <c r="C17" s="6" t="s">
        <v>13</v>
      </c>
    </row>
    <row r="18" spans="1:6" ht="60" customHeight="1" x14ac:dyDescent="0.25">
      <c r="A18" s="7">
        <f>A17+1</f>
        <v>5</v>
      </c>
      <c r="B18" s="4" t="s">
        <v>14</v>
      </c>
      <c r="C18" s="9" t="s">
        <v>15</v>
      </c>
      <c r="F18" s="10"/>
    </row>
    <row r="19" spans="1:6" ht="15" customHeight="1" x14ac:dyDescent="0.25">
      <c r="A19" s="7">
        <f>A18+1</f>
        <v>6</v>
      </c>
      <c r="B19" s="8" t="s">
        <v>16</v>
      </c>
      <c r="C19" s="11" t="s">
        <v>17</v>
      </c>
    </row>
    <row r="20" spans="1:6" ht="15" customHeight="1" x14ac:dyDescent="0.25">
      <c r="A20" s="7">
        <f>A19+1</f>
        <v>7</v>
      </c>
      <c r="B20" s="8" t="s">
        <v>18</v>
      </c>
      <c r="C20" s="5" t="s">
        <v>19</v>
      </c>
    </row>
    <row r="21" spans="1:6" ht="15" customHeight="1" x14ac:dyDescent="0.25">
      <c r="A21" s="499" t="s">
        <v>20</v>
      </c>
      <c r="B21" s="500"/>
      <c r="C21" s="501"/>
    </row>
    <row r="22" spans="1:6" x14ac:dyDescent="0.25">
      <c r="A22" s="7">
        <v>8</v>
      </c>
      <c r="B22" s="8" t="s">
        <v>21</v>
      </c>
      <c r="C22" s="5" t="s">
        <v>22</v>
      </c>
    </row>
    <row r="23" spans="1:6" ht="30" customHeight="1" x14ac:dyDescent="0.25">
      <c r="A23" s="7">
        <f>A22+1</f>
        <v>9</v>
      </c>
      <c r="B23" s="4" t="s">
        <v>23</v>
      </c>
      <c r="C23" s="8"/>
    </row>
    <row r="24" spans="1:6" ht="15" customHeight="1" x14ac:dyDescent="0.25">
      <c r="A24" s="502"/>
      <c r="B24" s="8" t="s">
        <v>24</v>
      </c>
      <c r="C24" s="5" t="s">
        <v>25</v>
      </c>
    </row>
    <row r="25" spans="1:6" x14ac:dyDescent="0.25">
      <c r="A25" s="503"/>
      <c r="B25" s="8" t="s">
        <v>26</v>
      </c>
      <c r="C25" s="5" t="s">
        <v>27</v>
      </c>
    </row>
    <row r="26" spans="1:6" ht="30" customHeight="1" x14ac:dyDescent="0.25">
      <c r="A26" s="7">
        <v>10</v>
      </c>
      <c r="B26" s="4" t="s">
        <v>28</v>
      </c>
      <c r="C26" s="5"/>
    </row>
    <row r="27" spans="1:6" ht="15" customHeight="1" x14ac:dyDescent="0.25">
      <c r="A27" s="502"/>
      <c r="B27" s="8" t="s">
        <v>29</v>
      </c>
      <c r="C27" s="5" t="s">
        <v>25</v>
      </c>
    </row>
    <row r="28" spans="1:6" ht="15" customHeight="1" x14ac:dyDescent="0.25">
      <c r="A28" s="503"/>
      <c r="B28" s="8" t="s">
        <v>30</v>
      </c>
      <c r="C28" s="12" t="s">
        <v>31</v>
      </c>
    </row>
    <row r="29" spans="1:6" x14ac:dyDescent="0.25">
      <c r="A29" s="7">
        <v>11</v>
      </c>
      <c r="B29" s="8" t="s">
        <v>32</v>
      </c>
      <c r="C29" s="11" t="s">
        <v>33</v>
      </c>
    </row>
  </sheetData>
  <mergeCells count="14">
    <mergeCell ref="A13:C13"/>
    <mergeCell ref="A21:C21"/>
    <mergeCell ref="A24:A25"/>
    <mergeCell ref="A27:A28"/>
    <mergeCell ref="A7:C7"/>
    <mergeCell ref="A8:C8"/>
    <mergeCell ref="A9:C9"/>
    <mergeCell ref="A10:C10"/>
    <mergeCell ref="A11:C11"/>
    <mergeCell ref="A1:C1"/>
    <mergeCell ref="A2:C2"/>
    <mergeCell ref="A3:C3"/>
    <mergeCell ref="A4:C4"/>
    <mergeCell ref="A6:C6"/>
  </mergeCells>
  <pageMargins left="0.70000004768371604" right="0.70000004768371604" top="0.75" bottom="0.75" header="0.30000001192092901" footer="0.30000001192092901"/>
  <pageSetup scale="83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zoomScale="55" zoomScaleNormal="55" workbookViewId="0">
      <selection activeCell="N17" sqref="N17"/>
    </sheetView>
  </sheetViews>
  <sheetFormatPr defaultColWidth="9.140625" defaultRowHeight="15" outlineLevelRow="2" x14ac:dyDescent="0.25"/>
  <cols>
    <col min="1" max="1" width="5.140625" style="95" customWidth="1"/>
    <col min="2" max="2" width="61.42578125" style="102" customWidth="1"/>
    <col min="3" max="3" width="14.85546875" style="467" customWidth="1"/>
    <col min="4" max="4" width="11.140625" style="467" customWidth="1"/>
    <col min="5" max="5" width="13.140625" style="467" customWidth="1"/>
    <col min="6" max="6" width="11" style="467" customWidth="1"/>
    <col min="7" max="7" width="11.7109375" style="467" customWidth="1"/>
    <col min="8" max="8" width="11.42578125" style="467" customWidth="1"/>
    <col min="9" max="9" width="11.5703125" style="467" customWidth="1"/>
    <col min="10" max="10" width="12.140625" style="467" customWidth="1"/>
    <col min="11" max="11" width="9.140625" style="95" bestFit="1" customWidth="1"/>
    <col min="12" max="16384" width="9.140625" style="95"/>
  </cols>
  <sheetData>
    <row r="1" spans="1:11" x14ac:dyDescent="0.25">
      <c r="A1" s="564" t="s">
        <v>595</v>
      </c>
      <c r="B1" s="564"/>
      <c r="C1" s="564"/>
      <c r="D1" s="564"/>
      <c r="E1" s="564"/>
      <c r="F1" s="564"/>
      <c r="G1" s="564"/>
      <c r="H1" s="564"/>
      <c r="I1" s="564"/>
      <c r="J1" s="564"/>
    </row>
    <row r="3" spans="1:11" x14ac:dyDescent="0.25">
      <c r="I3" s="569" t="s">
        <v>596</v>
      </c>
      <c r="J3" s="570"/>
    </row>
    <row r="4" spans="1:11" ht="20.25" customHeight="1" x14ac:dyDescent="0.25">
      <c r="A4" s="574" t="s">
        <v>36</v>
      </c>
      <c r="B4" s="574" t="s">
        <v>37</v>
      </c>
      <c r="C4" s="571" t="s">
        <v>597</v>
      </c>
      <c r="D4" s="572"/>
      <c r="E4" s="572"/>
      <c r="F4" s="573"/>
      <c r="G4" s="571" t="s">
        <v>562</v>
      </c>
      <c r="H4" s="580"/>
      <c r="I4" s="577" t="s">
        <v>563</v>
      </c>
      <c r="J4" s="583"/>
    </row>
    <row r="5" spans="1:11" ht="18.75" customHeight="1" x14ac:dyDescent="0.25">
      <c r="A5" s="575"/>
      <c r="B5" s="575"/>
      <c r="C5" s="571" t="s">
        <v>561</v>
      </c>
      <c r="D5" s="573"/>
      <c r="E5" s="571" t="s">
        <v>44</v>
      </c>
      <c r="F5" s="573"/>
      <c r="G5" s="581"/>
      <c r="H5" s="582"/>
      <c r="I5" s="584"/>
      <c r="J5" s="585"/>
    </row>
    <row r="6" spans="1:11" ht="41.25" customHeight="1" x14ac:dyDescent="0.25">
      <c r="A6" s="576"/>
      <c r="B6" s="576"/>
      <c r="C6" s="100" t="s">
        <v>598</v>
      </c>
      <c r="D6" s="100" t="s">
        <v>599</v>
      </c>
      <c r="E6" s="100" t="s">
        <v>600</v>
      </c>
      <c r="F6" s="100" t="s">
        <v>599</v>
      </c>
      <c r="G6" s="100" t="s">
        <v>600</v>
      </c>
      <c r="H6" s="100" t="s">
        <v>599</v>
      </c>
      <c r="I6" s="100" t="s">
        <v>600</v>
      </c>
      <c r="J6" s="100" t="s">
        <v>599</v>
      </c>
    </row>
    <row r="7" spans="1:11" x14ac:dyDescent="0.25">
      <c r="A7" s="96">
        <v>1</v>
      </c>
      <c r="B7" s="96">
        <v>2</v>
      </c>
      <c r="C7" s="468">
        <v>3</v>
      </c>
      <c r="D7" s="468">
        <v>4</v>
      </c>
      <c r="E7" s="468">
        <v>5</v>
      </c>
      <c r="F7" s="468">
        <v>6</v>
      </c>
      <c r="G7" s="468">
        <v>7</v>
      </c>
      <c r="H7" s="468">
        <v>8</v>
      </c>
      <c r="I7" s="468">
        <v>9</v>
      </c>
      <c r="J7" s="468">
        <v>10</v>
      </c>
    </row>
    <row r="8" spans="1:11" ht="37.15" customHeight="1" x14ac:dyDescent="0.25">
      <c r="A8" s="574">
        <v>1</v>
      </c>
      <c r="B8" s="103" t="s">
        <v>601</v>
      </c>
      <c r="C8" s="469">
        <v>17184.669999999998</v>
      </c>
      <c r="D8" s="469">
        <v>14639.05</v>
      </c>
      <c r="E8" s="469">
        <v>14639.05</v>
      </c>
      <c r="F8" s="469">
        <v>8511.86</v>
      </c>
      <c r="G8" s="469">
        <v>8511.86</v>
      </c>
      <c r="H8" s="469">
        <v>8563.51</v>
      </c>
      <c r="I8" s="469">
        <v>8563.51</v>
      </c>
      <c r="J8" s="469">
        <v>11168.640000000001</v>
      </c>
      <c r="K8" s="463"/>
    </row>
    <row r="9" spans="1:11" ht="34.15" customHeight="1" outlineLevel="1" x14ac:dyDescent="0.25">
      <c r="A9" s="575"/>
      <c r="B9" s="101" t="s">
        <v>602</v>
      </c>
      <c r="C9" s="466">
        <v>0</v>
      </c>
      <c r="D9" s="466">
        <v>0</v>
      </c>
      <c r="E9" s="466">
        <v>0</v>
      </c>
      <c r="F9" s="466">
        <v>0</v>
      </c>
      <c r="G9" s="466">
        <v>0</v>
      </c>
      <c r="H9" s="466">
        <v>0</v>
      </c>
      <c r="I9" s="466">
        <v>0</v>
      </c>
      <c r="J9" s="466">
        <v>0</v>
      </c>
    </row>
    <row r="10" spans="1:11" ht="34.15" customHeight="1" outlineLevel="2" x14ac:dyDescent="0.25">
      <c r="A10" s="575"/>
      <c r="B10" s="101" t="s">
        <v>603</v>
      </c>
      <c r="C10" s="466">
        <v>0</v>
      </c>
      <c r="D10" s="466">
        <v>0</v>
      </c>
      <c r="E10" s="466">
        <v>0</v>
      </c>
      <c r="F10" s="466">
        <v>0</v>
      </c>
      <c r="G10" s="466">
        <v>0</v>
      </c>
      <c r="H10" s="466">
        <v>0</v>
      </c>
      <c r="I10" s="466">
        <v>0</v>
      </c>
      <c r="J10" s="466">
        <v>0</v>
      </c>
    </row>
    <row r="11" spans="1:11" ht="34.15" customHeight="1" outlineLevel="2" x14ac:dyDescent="0.25">
      <c r="A11" s="575"/>
      <c r="B11" s="97" t="s">
        <v>604</v>
      </c>
      <c r="C11" s="466">
        <v>15611.52</v>
      </c>
      <c r="D11" s="466">
        <v>9145.9</v>
      </c>
      <c r="E11" s="466">
        <v>9145.9</v>
      </c>
      <c r="F11" s="466">
        <v>8511.86</v>
      </c>
      <c r="G11" s="466">
        <v>8511.86</v>
      </c>
      <c r="H11" s="466">
        <v>8563.51</v>
      </c>
      <c r="I11" s="466">
        <v>8563.51</v>
      </c>
      <c r="J11" s="466">
        <v>11168.640000000001</v>
      </c>
    </row>
    <row r="12" spans="1:11" ht="34.15" customHeight="1" outlineLevel="2" x14ac:dyDescent="0.25">
      <c r="A12" s="575"/>
      <c r="B12" s="97" t="s">
        <v>605</v>
      </c>
      <c r="C12" s="466">
        <v>-34.590000000000003</v>
      </c>
      <c r="D12" s="466">
        <v>-33.29</v>
      </c>
      <c r="E12" s="466">
        <v>-33.29</v>
      </c>
      <c r="F12" s="466">
        <v>-30.69</v>
      </c>
      <c r="G12" s="466">
        <v>-30.69</v>
      </c>
      <c r="H12" s="466">
        <v>-27.99</v>
      </c>
      <c r="I12" s="466">
        <v>-27.99</v>
      </c>
      <c r="J12" s="466">
        <v>-25.18</v>
      </c>
    </row>
    <row r="13" spans="1:11" ht="34.15" customHeight="1" outlineLevel="1" x14ac:dyDescent="0.25">
      <c r="A13" s="575"/>
      <c r="B13" s="97" t="s">
        <v>606</v>
      </c>
      <c r="C13" s="466">
        <v>21.19</v>
      </c>
      <c r="D13" s="466">
        <v>0</v>
      </c>
      <c r="E13" s="466">
        <v>0</v>
      </c>
      <c r="F13" s="466">
        <v>21.19</v>
      </c>
      <c r="G13" s="466">
        <v>21.19</v>
      </c>
      <c r="H13" s="466">
        <v>0</v>
      </c>
      <c r="I13" s="466">
        <v>0</v>
      </c>
      <c r="J13" s="466">
        <v>21.19</v>
      </c>
    </row>
    <row r="14" spans="1:11" ht="34.15" customHeight="1" outlineLevel="2" x14ac:dyDescent="0.25">
      <c r="A14" s="575"/>
      <c r="B14" s="97" t="s">
        <v>607</v>
      </c>
      <c r="C14" s="466">
        <v>623.25</v>
      </c>
      <c r="D14" s="466">
        <v>0</v>
      </c>
      <c r="E14" s="466">
        <v>0</v>
      </c>
      <c r="F14" s="466">
        <v>849.64</v>
      </c>
      <c r="G14" s="466">
        <v>849.64</v>
      </c>
      <c r="H14" s="466">
        <v>849.64</v>
      </c>
      <c r="I14" s="466">
        <v>849.64</v>
      </c>
      <c r="J14" s="466">
        <v>849.64</v>
      </c>
    </row>
    <row r="15" spans="1:11" ht="34.15" customHeight="1" outlineLevel="1" x14ac:dyDescent="0.25">
      <c r="A15" s="575"/>
      <c r="B15" s="97" t="s">
        <v>608</v>
      </c>
      <c r="C15" s="466">
        <v>283.14999999999998</v>
      </c>
      <c r="D15" s="466"/>
      <c r="E15" s="466">
        <v>0</v>
      </c>
      <c r="F15" s="466">
        <v>265.17</v>
      </c>
      <c r="G15" s="466">
        <v>265.17</v>
      </c>
      <c r="H15" s="466">
        <v>527.11</v>
      </c>
      <c r="I15" s="466">
        <v>527.11</v>
      </c>
      <c r="J15" s="466">
        <v>817.88</v>
      </c>
    </row>
    <row r="16" spans="1:11" ht="34.15" customHeight="1" outlineLevel="2" x14ac:dyDescent="0.25">
      <c r="A16" s="575"/>
      <c r="B16" s="97" t="s">
        <v>609</v>
      </c>
      <c r="C16" s="466">
        <v>14560.77</v>
      </c>
      <c r="D16" s="466">
        <v>9179.19</v>
      </c>
      <c r="E16" s="466">
        <v>9179.19</v>
      </c>
      <c r="F16" s="466">
        <v>7321.19</v>
      </c>
      <c r="G16" s="466">
        <v>7321.19</v>
      </c>
      <c r="H16" s="466">
        <v>7093.55</v>
      </c>
      <c r="I16" s="466">
        <v>7093.55</v>
      </c>
      <c r="J16" s="466">
        <v>9355.8700000000008</v>
      </c>
    </row>
    <row r="17" spans="1:10" s="104" customFormat="1" ht="34.15" customHeight="1" outlineLevel="2" x14ac:dyDescent="0.25">
      <c r="A17" s="575"/>
      <c r="B17" s="98" t="s">
        <v>610</v>
      </c>
      <c r="C17" s="466">
        <v>175.1</v>
      </c>
      <c r="D17" s="466">
        <v>0</v>
      </c>
      <c r="E17" s="466">
        <v>0</v>
      </c>
      <c r="F17" s="466">
        <v>105.49</v>
      </c>
      <c r="G17" s="466">
        <v>105.49</v>
      </c>
      <c r="H17" s="466">
        <v>121.2</v>
      </c>
      <c r="I17" s="466">
        <v>121.2</v>
      </c>
      <c r="J17" s="466">
        <v>149.24</v>
      </c>
    </row>
    <row r="18" spans="1:10" ht="34.15" customHeight="1" outlineLevel="2" x14ac:dyDescent="0.25">
      <c r="A18" s="575"/>
      <c r="B18" s="98" t="s">
        <v>611</v>
      </c>
      <c r="C18" s="466">
        <v>0</v>
      </c>
      <c r="D18" s="466">
        <v>0</v>
      </c>
      <c r="E18" s="466">
        <v>0</v>
      </c>
      <c r="F18" s="466">
        <v>0</v>
      </c>
      <c r="G18" s="466">
        <v>0</v>
      </c>
      <c r="H18" s="466">
        <v>0</v>
      </c>
      <c r="I18" s="466">
        <v>0</v>
      </c>
      <c r="J18" s="466">
        <v>0</v>
      </c>
    </row>
    <row r="19" spans="1:10" ht="34.15" customHeight="1" outlineLevel="2" x14ac:dyDescent="0.25">
      <c r="A19" s="575"/>
      <c r="B19" s="97" t="s">
        <v>612</v>
      </c>
      <c r="C19" s="466">
        <v>0</v>
      </c>
      <c r="D19" s="466">
        <v>0</v>
      </c>
      <c r="E19" s="466">
        <v>0</v>
      </c>
      <c r="F19" s="466">
        <v>0</v>
      </c>
      <c r="G19" s="466">
        <v>0</v>
      </c>
      <c r="H19" s="466">
        <v>0</v>
      </c>
      <c r="I19" s="466">
        <v>0</v>
      </c>
      <c r="J19" s="466">
        <v>0</v>
      </c>
    </row>
    <row r="20" spans="1:10" ht="37.35" hidden="1" customHeight="1" x14ac:dyDescent="0.25">
      <c r="A20" s="575"/>
      <c r="B20" s="97" t="s">
        <v>613</v>
      </c>
      <c r="C20" s="466">
        <v>0</v>
      </c>
      <c r="D20" s="466">
        <v>0</v>
      </c>
      <c r="E20" s="466">
        <v>0</v>
      </c>
      <c r="F20" s="466">
        <v>0</v>
      </c>
      <c r="G20" s="466">
        <v>0</v>
      </c>
      <c r="H20" s="466">
        <v>0</v>
      </c>
      <c r="I20" s="466">
        <v>0</v>
      </c>
      <c r="J20" s="466">
        <v>0</v>
      </c>
    </row>
    <row r="21" spans="1:10" ht="34.15" customHeight="1" x14ac:dyDescent="0.25">
      <c r="A21" s="576"/>
      <c r="B21" s="97" t="s">
        <v>614</v>
      </c>
      <c r="C21" s="466">
        <v>-17.350000000000001</v>
      </c>
      <c r="D21" s="470">
        <v>0</v>
      </c>
      <c r="E21" s="469">
        <v>0</v>
      </c>
      <c r="F21" s="469">
        <v>-20.13</v>
      </c>
      <c r="G21" s="469">
        <v>-20.13</v>
      </c>
      <c r="H21" s="469">
        <v>0</v>
      </c>
      <c r="I21" s="469">
        <v>0</v>
      </c>
      <c r="J21" s="469">
        <v>0</v>
      </c>
    </row>
    <row r="22" spans="1:10" ht="34.15" customHeight="1" x14ac:dyDescent="0.25">
      <c r="A22" s="105"/>
      <c r="B22" s="97" t="s">
        <v>615</v>
      </c>
      <c r="C22" s="466">
        <v>0</v>
      </c>
      <c r="D22" s="466">
        <v>5493.15</v>
      </c>
      <c r="E22" s="466">
        <v>5493.15</v>
      </c>
      <c r="F22" s="466">
        <v>0</v>
      </c>
      <c r="G22" s="466">
        <v>0</v>
      </c>
      <c r="H22" s="466">
        <v>0</v>
      </c>
      <c r="I22" s="466">
        <v>0</v>
      </c>
      <c r="J22" s="466">
        <v>0</v>
      </c>
    </row>
    <row r="23" spans="1:10" ht="37.15" customHeight="1" outlineLevel="1" x14ac:dyDescent="0.25">
      <c r="A23" s="577">
        <v>2</v>
      </c>
      <c r="B23" s="99" t="s">
        <v>616</v>
      </c>
      <c r="C23" s="466">
        <v>7320</v>
      </c>
      <c r="D23" s="466">
        <v>3736.01</v>
      </c>
      <c r="E23" s="466">
        <v>3736.01</v>
      </c>
      <c r="F23" s="466">
        <v>6033.95</v>
      </c>
      <c r="G23" s="466">
        <v>6033.95</v>
      </c>
      <c r="H23" s="466">
        <v>8099.47</v>
      </c>
      <c r="I23" s="466">
        <v>8099.47</v>
      </c>
      <c r="J23" s="466">
        <v>6921.44</v>
      </c>
    </row>
    <row r="24" spans="1:10" ht="34.15" customHeight="1" outlineLevel="1" x14ac:dyDescent="0.25">
      <c r="A24" s="578"/>
      <c r="B24" s="98" t="s">
        <v>617</v>
      </c>
      <c r="C24" s="466">
        <v>3447.3</v>
      </c>
      <c r="D24" s="471">
        <v>0</v>
      </c>
      <c r="E24" s="469">
        <v>0</v>
      </c>
      <c r="F24" s="466">
        <v>3098.98</v>
      </c>
      <c r="G24" s="469">
        <v>3098.98</v>
      </c>
      <c r="H24" s="466">
        <v>4329.99</v>
      </c>
      <c r="I24" s="469">
        <v>4329.99</v>
      </c>
      <c r="J24" s="466">
        <v>4397</v>
      </c>
    </row>
    <row r="25" spans="1:10" ht="34.15" customHeight="1" outlineLevel="1" x14ac:dyDescent="0.25">
      <c r="A25" s="578"/>
      <c r="B25" s="98" t="s">
        <v>618</v>
      </c>
      <c r="C25" s="466">
        <v>1819.55</v>
      </c>
      <c r="D25" s="471">
        <v>1588.15</v>
      </c>
      <c r="E25" s="466">
        <v>1588.15</v>
      </c>
      <c r="F25" s="466">
        <v>1997.17</v>
      </c>
      <c r="G25" s="469">
        <v>1997.17</v>
      </c>
      <c r="H25" s="466">
        <v>1446.44</v>
      </c>
      <c r="I25" s="469">
        <v>1446.44</v>
      </c>
      <c r="J25" s="466">
        <v>873.15</v>
      </c>
    </row>
    <row r="26" spans="1:10" ht="34.15" customHeight="1" x14ac:dyDescent="0.25">
      <c r="A26" s="578"/>
      <c r="B26" s="98" t="s">
        <v>619</v>
      </c>
      <c r="C26" s="466">
        <v>2053.15</v>
      </c>
      <c r="D26" s="100">
        <v>1788.98</v>
      </c>
      <c r="E26" s="466">
        <v>1788.98</v>
      </c>
      <c r="F26" s="466">
        <v>937.8</v>
      </c>
      <c r="G26" s="469">
        <v>937.8</v>
      </c>
      <c r="H26" s="466">
        <v>1549.17</v>
      </c>
      <c r="I26" s="469">
        <v>1549.17</v>
      </c>
      <c r="J26" s="466">
        <v>1079.3</v>
      </c>
    </row>
    <row r="27" spans="1:10" ht="34.15" customHeight="1" x14ac:dyDescent="0.25">
      <c r="A27" s="578"/>
      <c r="B27" s="98" t="s">
        <v>620</v>
      </c>
      <c r="C27" s="466">
        <v>0</v>
      </c>
      <c r="D27" s="100">
        <v>0</v>
      </c>
      <c r="E27" s="466">
        <v>0</v>
      </c>
      <c r="F27" s="466">
        <v>0</v>
      </c>
      <c r="G27" s="469">
        <v>0</v>
      </c>
      <c r="H27" s="466">
        <v>0</v>
      </c>
      <c r="I27" s="469">
        <v>0</v>
      </c>
      <c r="J27" s="466">
        <v>0</v>
      </c>
    </row>
    <row r="28" spans="1:10" ht="34.15" customHeight="1" x14ac:dyDescent="0.25">
      <c r="A28" s="579"/>
      <c r="B28" s="97" t="s">
        <v>621</v>
      </c>
      <c r="C28" s="466">
        <v>0</v>
      </c>
      <c r="D28" s="100">
        <v>358.88</v>
      </c>
      <c r="E28" s="466">
        <v>358.88</v>
      </c>
      <c r="F28" s="466">
        <v>0</v>
      </c>
      <c r="G28" s="469">
        <v>0</v>
      </c>
      <c r="H28" s="466">
        <v>773.87</v>
      </c>
      <c r="I28" s="469">
        <v>773.87</v>
      </c>
      <c r="J28" s="466">
        <v>571.99</v>
      </c>
    </row>
  </sheetData>
  <mergeCells count="11">
    <mergeCell ref="A8:A21"/>
    <mergeCell ref="A23:A28"/>
    <mergeCell ref="B4:B6"/>
    <mergeCell ref="G4:H5"/>
    <mergeCell ref="I4:J5"/>
    <mergeCell ref="A1:J1"/>
    <mergeCell ref="I3:J3"/>
    <mergeCell ref="C4:F4"/>
    <mergeCell ref="C5:D5"/>
    <mergeCell ref="E5:F5"/>
    <mergeCell ref="A4:A6"/>
  </mergeCells>
  <pageMargins left="0.70866137742996205" right="0.70866137742996205" top="0.74803149700164795" bottom="0.74803149700164795" header="0.31496062874794001" footer="0.31496062874794001"/>
  <pageSetup paperSize="9" scale="5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C3" sqref="C3:E3"/>
    </sheetView>
  </sheetViews>
  <sheetFormatPr defaultColWidth="9.140625" defaultRowHeight="12.75" x14ac:dyDescent="0.25"/>
  <cols>
    <col min="1" max="1" width="59.7109375" style="85" customWidth="1"/>
    <col min="2" max="2" width="12.7109375" style="85" customWidth="1"/>
    <col min="3" max="3" width="11.140625" style="85" customWidth="1"/>
    <col min="4" max="5" width="12.7109375" style="85" customWidth="1"/>
    <col min="6" max="228" width="9.140625" style="85" bestFit="1" customWidth="1"/>
    <col min="229" max="229" width="59.7109375" style="85" customWidth="1"/>
    <col min="230" max="230" width="12.7109375" style="85" customWidth="1"/>
    <col min="231" max="231" width="11.140625" style="85" customWidth="1"/>
    <col min="232" max="233" width="12.7109375" style="85" customWidth="1"/>
    <col min="234" max="484" width="9.140625" style="85" bestFit="1" customWidth="1"/>
    <col min="485" max="485" width="59.7109375" style="85" customWidth="1"/>
    <col min="486" max="486" width="12.7109375" style="85" customWidth="1"/>
    <col min="487" max="487" width="11.140625" style="85" customWidth="1"/>
    <col min="488" max="489" width="12.7109375" style="85" customWidth="1"/>
    <col min="490" max="740" width="9.140625" style="85" bestFit="1" customWidth="1"/>
    <col min="741" max="741" width="59.7109375" style="85" customWidth="1"/>
    <col min="742" max="742" width="12.7109375" style="85" customWidth="1"/>
    <col min="743" max="743" width="11.140625" style="85" customWidth="1"/>
    <col min="744" max="745" width="12.7109375" style="85" customWidth="1"/>
    <col min="746" max="996" width="9.140625" style="85" bestFit="1" customWidth="1"/>
    <col min="997" max="997" width="59.7109375" style="85" customWidth="1"/>
    <col min="998" max="998" width="12.7109375" style="85" customWidth="1"/>
    <col min="999" max="999" width="11.140625" style="85" customWidth="1"/>
    <col min="1000" max="1001" width="12.7109375" style="85" customWidth="1"/>
    <col min="1002" max="1252" width="9.140625" style="85" bestFit="1" customWidth="1"/>
    <col min="1253" max="1253" width="59.7109375" style="85" customWidth="1"/>
    <col min="1254" max="1254" width="12.7109375" style="85" customWidth="1"/>
    <col min="1255" max="1255" width="11.140625" style="85" customWidth="1"/>
    <col min="1256" max="1257" width="12.7109375" style="85" customWidth="1"/>
    <col min="1258" max="1508" width="9.140625" style="85" bestFit="1" customWidth="1"/>
    <col min="1509" max="1509" width="59.7109375" style="85" customWidth="1"/>
    <col min="1510" max="1510" width="12.7109375" style="85" customWidth="1"/>
    <col min="1511" max="1511" width="11.140625" style="85" customWidth="1"/>
    <col min="1512" max="1513" width="12.7109375" style="85" customWidth="1"/>
    <col min="1514" max="1764" width="9.140625" style="85" bestFit="1" customWidth="1"/>
    <col min="1765" max="1765" width="59.7109375" style="85" customWidth="1"/>
    <col min="1766" max="1766" width="12.7109375" style="85" customWidth="1"/>
    <col min="1767" max="1767" width="11.140625" style="85" customWidth="1"/>
    <col min="1768" max="1769" width="12.7109375" style="85" customWidth="1"/>
    <col min="1770" max="2020" width="9.140625" style="85" bestFit="1" customWidth="1"/>
    <col min="2021" max="2021" width="59.7109375" style="85" customWidth="1"/>
    <col min="2022" max="2022" width="12.7109375" style="85" customWidth="1"/>
    <col min="2023" max="2023" width="11.140625" style="85" customWidth="1"/>
    <col min="2024" max="2025" width="12.7109375" style="85" customWidth="1"/>
    <col min="2026" max="2276" width="9.140625" style="85" bestFit="1" customWidth="1"/>
    <col min="2277" max="2277" width="59.7109375" style="85" customWidth="1"/>
    <col min="2278" max="2278" width="12.7109375" style="85" customWidth="1"/>
    <col min="2279" max="2279" width="11.140625" style="85" customWidth="1"/>
    <col min="2280" max="2281" width="12.7109375" style="85" customWidth="1"/>
    <col min="2282" max="2532" width="9.140625" style="85" bestFit="1" customWidth="1"/>
    <col min="2533" max="2533" width="59.7109375" style="85" customWidth="1"/>
    <col min="2534" max="2534" width="12.7109375" style="85" customWidth="1"/>
    <col min="2535" max="2535" width="11.140625" style="85" customWidth="1"/>
    <col min="2536" max="2537" width="12.7109375" style="85" customWidth="1"/>
    <col min="2538" max="2788" width="9.140625" style="85" bestFit="1" customWidth="1"/>
    <col min="2789" max="2789" width="59.7109375" style="85" customWidth="1"/>
    <col min="2790" max="2790" width="12.7109375" style="85" customWidth="1"/>
    <col min="2791" max="2791" width="11.140625" style="85" customWidth="1"/>
    <col min="2792" max="2793" width="12.7109375" style="85" customWidth="1"/>
    <col min="2794" max="3044" width="9.140625" style="85" bestFit="1" customWidth="1"/>
    <col min="3045" max="3045" width="59.7109375" style="85" customWidth="1"/>
    <col min="3046" max="3046" width="12.7109375" style="85" customWidth="1"/>
    <col min="3047" max="3047" width="11.140625" style="85" customWidth="1"/>
    <col min="3048" max="3049" width="12.7109375" style="85" customWidth="1"/>
    <col min="3050" max="3300" width="9.140625" style="85" bestFit="1" customWidth="1"/>
    <col min="3301" max="3301" width="59.7109375" style="85" customWidth="1"/>
    <col min="3302" max="3302" width="12.7109375" style="85" customWidth="1"/>
    <col min="3303" max="3303" width="11.140625" style="85" customWidth="1"/>
    <col min="3304" max="3305" width="12.7109375" style="85" customWidth="1"/>
    <col min="3306" max="3556" width="9.140625" style="85" bestFit="1" customWidth="1"/>
    <col min="3557" max="3557" width="59.7109375" style="85" customWidth="1"/>
    <col min="3558" max="3558" width="12.7109375" style="85" customWidth="1"/>
    <col min="3559" max="3559" width="11.140625" style="85" customWidth="1"/>
    <col min="3560" max="3561" width="12.7109375" style="85" customWidth="1"/>
    <col min="3562" max="3812" width="9.140625" style="85" bestFit="1" customWidth="1"/>
    <col min="3813" max="3813" width="59.7109375" style="85" customWidth="1"/>
    <col min="3814" max="3814" width="12.7109375" style="85" customWidth="1"/>
    <col min="3815" max="3815" width="11.140625" style="85" customWidth="1"/>
    <col min="3816" max="3817" width="12.7109375" style="85" customWidth="1"/>
    <col min="3818" max="4068" width="9.140625" style="85" bestFit="1" customWidth="1"/>
    <col min="4069" max="4069" width="59.7109375" style="85" customWidth="1"/>
    <col min="4070" max="4070" width="12.7109375" style="85" customWidth="1"/>
    <col min="4071" max="4071" width="11.140625" style="85" customWidth="1"/>
    <col min="4072" max="4073" width="12.7109375" style="85" customWidth="1"/>
    <col min="4074" max="4324" width="9.140625" style="85" bestFit="1" customWidth="1"/>
    <col min="4325" max="4325" width="59.7109375" style="85" customWidth="1"/>
    <col min="4326" max="4326" width="12.7109375" style="85" customWidth="1"/>
    <col min="4327" max="4327" width="11.140625" style="85" customWidth="1"/>
    <col min="4328" max="4329" width="12.7109375" style="85" customWidth="1"/>
    <col min="4330" max="4580" width="9.140625" style="85" bestFit="1" customWidth="1"/>
    <col min="4581" max="4581" width="59.7109375" style="85" customWidth="1"/>
    <col min="4582" max="4582" width="12.7109375" style="85" customWidth="1"/>
    <col min="4583" max="4583" width="11.140625" style="85" customWidth="1"/>
    <col min="4584" max="4585" width="12.7109375" style="85" customWidth="1"/>
    <col min="4586" max="4836" width="9.140625" style="85" bestFit="1" customWidth="1"/>
    <col min="4837" max="4837" width="59.7109375" style="85" customWidth="1"/>
    <col min="4838" max="4838" width="12.7109375" style="85" customWidth="1"/>
    <col min="4839" max="4839" width="11.140625" style="85" customWidth="1"/>
    <col min="4840" max="4841" width="12.7109375" style="85" customWidth="1"/>
    <col min="4842" max="5092" width="9.140625" style="85" bestFit="1" customWidth="1"/>
    <col min="5093" max="5093" width="59.7109375" style="85" customWidth="1"/>
    <col min="5094" max="5094" width="12.7109375" style="85" customWidth="1"/>
    <col min="5095" max="5095" width="11.140625" style="85" customWidth="1"/>
    <col min="5096" max="5097" width="12.7109375" style="85" customWidth="1"/>
    <col min="5098" max="5348" width="9.140625" style="85" bestFit="1" customWidth="1"/>
    <col min="5349" max="5349" width="59.7109375" style="85" customWidth="1"/>
    <col min="5350" max="5350" width="12.7109375" style="85" customWidth="1"/>
    <col min="5351" max="5351" width="11.140625" style="85" customWidth="1"/>
    <col min="5352" max="5353" width="12.7109375" style="85" customWidth="1"/>
    <col min="5354" max="5604" width="9.140625" style="85" bestFit="1" customWidth="1"/>
    <col min="5605" max="5605" width="59.7109375" style="85" customWidth="1"/>
    <col min="5606" max="5606" width="12.7109375" style="85" customWidth="1"/>
    <col min="5607" max="5607" width="11.140625" style="85" customWidth="1"/>
    <col min="5608" max="5609" width="12.7109375" style="85" customWidth="1"/>
    <col min="5610" max="5860" width="9.140625" style="85" bestFit="1" customWidth="1"/>
    <col min="5861" max="5861" width="59.7109375" style="85" customWidth="1"/>
    <col min="5862" max="5862" width="12.7109375" style="85" customWidth="1"/>
    <col min="5863" max="5863" width="11.140625" style="85" customWidth="1"/>
    <col min="5864" max="5865" width="12.7109375" style="85" customWidth="1"/>
    <col min="5866" max="6116" width="9.140625" style="85" bestFit="1" customWidth="1"/>
    <col min="6117" max="6117" width="59.7109375" style="85" customWidth="1"/>
    <col min="6118" max="6118" width="12.7109375" style="85" customWidth="1"/>
    <col min="6119" max="6119" width="11.140625" style="85" customWidth="1"/>
    <col min="6120" max="6121" width="12.7109375" style="85" customWidth="1"/>
    <col min="6122" max="6372" width="9.140625" style="85" bestFit="1" customWidth="1"/>
    <col min="6373" max="6373" width="59.7109375" style="85" customWidth="1"/>
    <col min="6374" max="6374" width="12.7109375" style="85" customWidth="1"/>
    <col min="6375" max="6375" width="11.140625" style="85" customWidth="1"/>
    <col min="6376" max="6377" width="12.7109375" style="85" customWidth="1"/>
    <col min="6378" max="6628" width="9.140625" style="85" bestFit="1" customWidth="1"/>
    <col min="6629" max="6629" width="59.7109375" style="85" customWidth="1"/>
    <col min="6630" max="6630" width="12.7109375" style="85" customWidth="1"/>
    <col min="6631" max="6631" width="11.140625" style="85" customWidth="1"/>
    <col min="6632" max="6633" width="12.7109375" style="85" customWidth="1"/>
    <col min="6634" max="6884" width="9.140625" style="85" bestFit="1" customWidth="1"/>
    <col min="6885" max="6885" width="59.7109375" style="85" customWidth="1"/>
    <col min="6886" max="6886" width="12.7109375" style="85" customWidth="1"/>
    <col min="6887" max="6887" width="11.140625" style="85" customWidth="1"/>
    <col min="6888" max="6889" width="12.7109375" style="85" customWidth="1"/>
    <col min="6890" max="7140" width="9.140625" style="85" bestFit="1" customWidth="1"/>
    <col min="7141" max="7141" width="59.7109375" style="85" customWidth="1"/>
    <col min="7142" max="7142" width="12.7109375" style="85" customWidth="1"/>
    <col min="7143" max="7143" width="11.140625" style="85" customWidth="1"/>
    <col min="7144" max="7145" width="12.7109375" style="85" customWidth="1"/>
    <col min="7146" max="7396" width="9.140625" style="85" bestFit="1" customWidth="1"/>
    <col min="7397" max="7397" width="59.7109375" style="85" customWidth="1"/>
    <col min="7398" max="7398" width="12.7109375" style="85" customWidth="1"/>
    <col min="7399" max="7399" width="11.140625" style="85" customWidth="1"/>
    <col min="7400" max="7401" width="12.7109375" style="85" customWidth="1"/>
    <col min="7402" max="7652" width="9.140625" style="85" bestFit="1" customWidth="1"/>
    <col min="7653" max="7653" width="59.7109375" style="85" customWidth="1"/>
    <col min="7654" max="7654" width="12.7109375" style="85" customWidth="1"/>
    <col min="7655" max="7655" width="11.140625" style="85" customWidth="1"/>
    <col min="7656" max="7657" width="12.7109375" style="85" customWidth="1"/>
    <col min="7658" max="7908" width="9.140625" style="85" bestFit="1" customWidth="1"/>
    <col min="7909" max="7909" width="59.7109375" style="85" customWidth="1"/>
    <col min="7910" max="7910" width="12.7109375" style="85" customWidth="1"/>
    <col min="7911" max="7911" width="11.140625" style="85" customWidth="1"/>
    <col min="7912" max="7913" width="12.7109375" style="85" customWidth="1"/>
    <col min="7914" max="8164" width="9.140625" style="85" bestFit="1" customWidth="1"/>
    <col min="8165" max="8165" width="59.7109375" style="85" customWidth="1"/>
    <col min="8166" max="8166" width="12.7109375" style="85" customWidth="1"/>
    <col min="8167" max="8167" width="11.140625" style="85" customWidth="1"/>
    <col min="8168" max="8169" width="12.7109375" style="85" customWidth="1"/>
    <col min="8170" max="8420" width="9.140625" style="85" bestFit="1" customWidth="1"/>
    <col min="8421" max="8421" width="59.7109375" style="85" customWidth="1"/>
    <col min="8422" max="8422" width="12.7109375" style="85" customWidth="1"/>
    <col min="8423" max="8423" width="11.140625" style="85" customWidth="1"/>
    <col min="8424" max="8425" width="12.7109375" style="85" customWidth="1"/>
    <col min="8426" max="8676" width="9.140625" style="85" bestFit="1" customWidth="1"/>
    <col min="8677" max="8677" width="59.7109375" style="85" customWidth="1"/>
    <col min="8678" max="8678" width="12.7109375" style="85" customWidth="1"/>
    <col min="8679" max="8679" width="11.140625" style="85" customWidth="1"/>
    <col min="8680" max="8681" width="12.7109375" style="85" customWidth="1"/>
    <col min="8682" max="8932" width="9.140625" style="85" bestFit="1" customWidth="1"/>
    <col min="8933" max="8933" width="59.7109375" style="85" customWidth="1"/>
    <col min="8934" max="8934" width="12.7109375" style="85" customWidth="1"/>
    <col min="8935" max="8935" width="11.140625" style="85" customWidth="1"/>
    <col min="8936" max="8937" width="12.7109375" style="85" customWidth="1"/>
    <col min="8938" max="9188" width="9.140625" style="85" bestFit="1" customWidth="1"/>
    <col min="9189" max="9189" width="59.7109375" style="85" customWidth="1"/>
    <col min="9190" max="9190" width="12.7109375" style="85" customWidth="1"/>
    <col min="9191" max="9191" width="11.140625" style="85" customWidth="1"/>
    <col min="9192" max="9193" width="12.7109375" style="85" customWidth="1"/>
    <col min="9194" max="9444" width="9.140625" style="85" bestFit="1" customWidth="1"/>
    <col min="9445" max="9445" width="59.7109375" style="85" customWidth="1"/>
    <col min="9446" max="9446" width="12.7109375" style="85" customWidth="1"/>
    <col min="9447" max="9447" width="11.140625" style="85" customWidth="1"/>
    <col min="9448" max="9449" width="12.7109375" style="85" customWidth="1"/>
    <col min="9450" max="9700" width="9.140625" style="85" bestFit="1" customWidth="1"/>
    <col min="9701" max="9701" width="59.7109375" style="85" customWidth="1"/>
    <col min="9702" max="9702" width="12.7109375" style="85" customWidth="1"/>
    <col min="9703" max="9703" width="11.140625" style="85" customWidth="1"/>
    <col min="9704" max="9705" width="12.7109375" style="85" customWidth="1"/>
    <col min="9706" max="9956" width="9.140625" style="85" bestFit="1" customWidth="1"/>
    <col min="9957" max="9957" width="59.7109375" style="85" customWidth="1"/>
    <col min="9958" max="9958" width="12.7109375" style="85" customWidth="1"/>
    <col min="9959" max="9959" width="11.140625" style="85" customWidth="1"/>
    <col min="9960" max="9961" width="12.7109375" style="85" customWidth="1"/>
    <col min="9962" max="10212" width="9.140625" style="85" bestFit="1" customWidth="1"/>
    <col min="10213" max="10213" width="59.7109375" style="85" customWidth="1"/>
    <col min="10214" max="10214" width="12.7109375" style="85" customWidth="1"/>
    <col min="10215" max="10215" width="11.140625" style="85" customWidth="1"/>
    <col min="10216" max="10217" width="12.7109375" style="85" customWidth="1"/>
    <col min="10218" max="10468" width="9.140625" style="85" bestFit="1" customWidth="1"/>
    <col min="10469" max="10469" width="59.7109375" style="85" customWidth="1"/>
    <col min="10470" max="10470" width="12.7109375" style="85" customWidth="1"/>
    <col min="10471" max="10471" width="11.140625" style="85" customWidth="1"/>
    <col min="10472" max="10473" width="12.7109375" style="85" customWidth="1"/>
    <col min="10474" max="10724" width="9.140625" style="85" bestFit="1" customWidth="1"/>
    <col min="10725" max="10725" width="59.7109375" style="85" customWidth="1"/>
    <col min="10726" max="10726" width="12.7109375" style="85" customWidth="1"/>
    <col min="10727" max="10727" width="11.140625" style="85" customWidth="1"/>
    <col min="10728" max="10729" width="12.7109375" style="85" customWidth="1"/>
    <col min="10730" max="10980" width="9.140625" style="85" bestFit="1" customWidth="1"/>
    <col min="10981" max="10981" width="59.7109375" style="85" customWidth="1"/>
    <col min="10982" max="10982" width="12.7109375" style="85" customWidth="1"/>
    <col min="10983" max="10983" width="11.140625" style="85" customWidth="1"/>
    <col min="10984" max="10985" width="12.7109375" style="85" customWidth="1"/>
    <col min="10986" max="11236" width="9.140625" style="85" bestFit="1" customWidth="1"/>
    <col min="11237" max="11237" width="59.7109375" style="85" customWidth="1"/>
    <col min="11238" max="11238" width="12.7109375" style="85" customWidth="1"/>
    <col min="11239" max="11239" width="11.140625" style="85" customWidth="1"/>
    <col min="11240" max="11241" width="12.7109375" style="85" customWidth="1"/>
    <col min="11242" max="11492" width="9.140625" style="85" bestFit="1" customWidth="1"/>
    <col min="11493" max="11493" width="59.7109375" style="85" customWidth="1"/>
    <col min="11494" max="11494" width="12.7109375" style="85" customWidth="1"/>
    <col min="11495" max="11495" width="11.140625" style="85" customWidth="1"/>
    <col min="11496" max="11497" width="12.7109375" style="85" customWidth="1"/>
    <col min="11498" max="11748" width="9.140625" style="85" bestFit="1" customWidth="1"/>
    <col min="11749" max="11749" width="59.7109375" style="85" customWidth="1"/>
    <col min="11750" max="11750" width="12.7109375" style="85" customWidth="1"/>
    <col min="11751" max="11751" width="11.140625" style="85" customWidth="1"/>
    <col min="11752" max="11753" width="12.7109375" style="85" customWidth="1"/>
    <col min="11754" max="12004" width="9.140625" style="85" bestFit="1" customWidth="1"/>
    <col min="12005" max="12005" width="59.7109375" style="85" customWidth="1"/>
    <col min="12006" max="12006" width="12.7109375" style="85" customWidth="1"/>
    <col min="12007" max="12007" width="11.140625" style="85" customWidth="1"/>
    <col min="12008" max="12009" width="12.7109375" style="85" customWidth="1"/>
    <col min="12010" max="12260" width="9.140625" style="85" bestFit="1" customWidth="1"/>
    <col min="12261" max="12261" width="59.7109375" style="85" customWidth="1"/>
    <col min="12262" max="12262" width="12.7109375" style="85" customWidth="1"/>
    <col min="12263" max="12263" width="11.140625" style="85" customWidth="1"/>
    <col min="12264" max="12265" width="12.7109375" style="85" customWidth="1"/>
    <col min="12266" max="12516" width="9.140625" style="85" bestFit="1" customWidth="1"/>
    <col min="12517" max="12517" width="59.7109375" style="85" customWidth="1"/>
    <col min="12518" max="12518" width="12.7109375" style="85" customWidth="1"/>
    <col min="12519" max="12519" width="11.140625" style="85" customWidth="1"/>
    <col min="12520" max="12521" width="12.7109375" style="85" customWidth="1"/>
    <col min="12522" max="12772" width="9.140625" style="85" bestFit="1" customWidth="1"/>
    <col min="12773" max="12773" width="59.7109375" style="85" customWidth="1"/>
    <col min="12774" max="12774" width="12.7109375" style="85" customWidth="1"/>
    <col min="12775" max="12775" width="11.140625" style="85" customWidth="1"/>
    <col min="12776" max="12777" width="12.7109375" style="85" customWidth="1"/>
    <col min="12778" max="13028" width="9.140625" style="85" bestFit="1" customWidth="1"/>
    <col min="13029" max="13029" width="59.7109375" style="85" customWidth="1"/>
    <col min="13030" max="13030" width="12.7109375" style="85" customWidth="1"/>
    <col min="13031" max="13031" width="11.140625" style="85" customWidth="1"/>
    <col min="13032" max="13033" width="12.7109375" style="85" customWidth="1"/>
    <col min="13034" max="13284" width="9.140625" style="85" bestFit="1" customWidth="1"/>
    <col min="13285" max="13285" width="59.7109375" style="85" customWidth="1"/>
    <col min="13286" max="13286" width="12.7109375" style="85" customWidth="1"/>
    <col min="13287" max="13287" width="11.140625" style="85" customWidth="1"/>
    <col min="13288" max="13289" width="12.7109375" style="85" customWidth="1"/>
    <col min="13290" max="13540" width="9.140625" style="85" bestFit="1" customWidth="1"/>
    <col min="13541" max="13541" width="59.7109375" style="85" customWidth="1"/>
    <col min="13542" max="13542" width="12.7109375" style="85" customWidth="1"/>
    <col min="13543" max="13543" width="11.140625" style="85" customWidth="1"/>
    <col min="13544" max="13545" width="12.7109375" style="85" customWidth="1"/>
    <col min="13546" max="13796" width="9.140625" style="85" bestFit="1" customWidth="1"/>
    <col min="13797" max="13797" width="59.7109375" style="85" customWidth="1"/>
    <col min="13798" max="13798" width="12.7109375" style="85" customWidth="1"/>
    <col min="13799" max="13799" width="11.140625" style="85" customWidth="1"/>
    <col min="13800" max="13801" width="12.7109375" style="85" customWidth="1"/>
    <col min="13802" max="14052" width="9.140625" style="85" bestFit="1" customWidth="1"/>
    <col min="14053" max="14053" width="59.7109375" style="85" customWidth="1"/>
    <col min="14054" max="14054" width="12.7109375" style="85" customWidth="1"/>
    <col min="14055" max="14055" width="11.140625" style="85" customWidth="1"/>
    <col min="14056" max="14057" width="12.7109375" style="85" customWidth="1"/>
    <col min="14058" max="14308" width="9.140625" style="85" bestFit="1" customWidth="1"/>
    <col min="14309" max="14309" width="59.7109375" style="85" customWidth="1"/>
    <col min="14310" max="14310" width="12.7109375" style="85" customWidth="1"/>
    <col min="14311" max="14311" width="11.140625" style="85" customWidth="1"/>
    <col min="14312" max="14313" width="12.7109375" style="85" customWidth="1"/>
    <col min="14314" max="14564" width="9.140625" style="85" bestFit="1" customWidth="1"/>
    <col min="14565" max="14565" width="59.7109375" style="85" customWidth="1"/>
    <col min="14566" max="14566" width="12.7109375" style="85" customWidth="1"/>
    <col min="14567" max="14567" width="11.140625" style="85" customWidth="1"/>
    <col min="14568" max="14569" width="12.7109375" style="85" customWidth="1"/>
    <col min="14570" max="14820" width="9.140625" style="85" bestFit="1" customWidth="1"/>
    <col min="14821" max="14821" width="59.7109375" style="85" customWidth="1"/>
    <col min="14822" max="14822" width="12.7109375" style="85" customWidth="1"/>
    <col min="14823" max="14823" width="11.140625" style="85" customWidth="1"/>
    <col min="14824" max="14825" width="12.7109375" style="85" customWidth="1"/>
    <col min="14826" max="15076" width="9.140625" style="85" bestFit="1" customWidth="1"/>
    <col min="15077" max="15077" width="59.7109375" style="85" customWidth="1"/>
    <col min="15078" max="15078" width="12.7109375" style="85" customWidth="1"/>
    <col min="15079" max="15079" width="11.140625" style="85" customWidth="1"/>
    <col min="15080" max="15081" width="12.7109375" style="85" customWidth="1"/>
    <col min="15082" max="15332" width="9.140625" style="85" bestFit="1" customWidth="1"/>
    <col min="15333" max="15333" width="59.7109375" style="85" customWidth="1"/>
    <col min="15334" max="15334" width="12.7109375" style="85" customWidth="1"/>
    <col min="15335" max="15335" width="11.140625" style="85" customWidth="1"/>
    <col min="15336" max="15337" width="12.7109375" style="85" customWidth="1"/>
    <col min="15338" max="15588" width="9.140625" style="85" bestFit="1" customWidth="1"/>
    <col min="15589" max="15589" width="59.7109375" style="85" customWidth="1"/>
    <col min="15590" max="15590" width="12.7109375" style="85" customWidth="1"/>
    <col min="15591" max="15591" width="11.140625" style="85" customWidth="1"/>
    <col min="15592" max="15593" width="12.7109375" style="85" customWidth="1"/>
    <col min="15594" max="15844" width="9.140625" style="85" bestFit="1" customWidth="1"/>
    <col min="15845" max="15845" width="59.7109375" style="85" customWidth="1"/>
    <col min="15846" max="15846" width="12.7109375" style="85" customWidth="1"/>
    <col min="15847" max="15847" width="11.140625" style="85" customWidth="1"/>
    <col min="15848" max="15849" width="12.7109375" style="85" customWidth="1"/>
    <col min="15850" max="16100" width="9.140625" style="85" bestFit="1" customWidth="1"/>
    <col min="16101" max="16101" width="59.7109375" style="85" customWidth="1"/>
    <col min="16102" max="16102" width="12.7109375" style="85" customWidth="1"/>
    <col min="16103" max="16103" width="11.140625" style="85" customWidth="1"/>
    <col min="16104" max="16105" width="12.7109375" style="85" customWidth="1"/>
    <col min="16106" max="16357" width="9.140625" style="85" bestFit="1" customWidth="1"/>
    <col min="16358" max="16369" width="9" style="85" bestFit="1" customWidth="1"/>
    <col min="16370" max="16384" width="9.140625" style="85" bestFit="1" customWidth="1"/>
  </cols>
  <sheetData>
    <row r="1" spans="1:5" x14ac:dyDescent="0.25">
      <c r="C1" s="589" t="s">
        <v>1365</v>
      </c>
      <c r="D1" s="589"/>
      <c r="E1" s="589"/>
    </row>
    <row r="2" spans="1:5" x14ac:dyDescent="0.25">
      <c r="C2" s="589" t="s">
        <v>1366</v>
      </c>
      <c r="D2" s="589"/>
      <c r="E2" s="589"/>
    </row>
    <row r="3" spans="1:5" x14ac:dyDescent="0.25">
      <c r="C3" s="589" t="s">
        <v>1368</v>
      </c>
      <c r="D3" s="589"/>
      <c r="E3" s="589"/>
    </row>
    <row r="5" spans="1:5" x14ac:dyDescent="0.25">
      <c r="A5" s="529" t="s">
        <v>537</v>
      </c>
      <c r="B5" s="529"/>
      <c r="C5" s="529"/>
      <c r="D5" s="529"/>
      <c r="E5" s="529"/>
    </row>
    <row r="6" spans="1:5" ht="12.75" customHeight="1" x14ac:dyDescent="0.25">
      <c r="A6" s="529" t="s">
        <v>538</v>
      </c>
      <c r="B6" s="529"/>
      <c r="C6" s="529"/>
      <c r="D6" s="529"/>
      <c r="E6" s="529"/>
    </row>
    <row r="7" spans="1:5" ht="12.75" customHeight="1" x14ac:dyDescent="0.25"/>
    <row r="8" spans="1:5" x14ac:dyDescent="0.25">
      <c r="A8" s="529" t="s">
        <v>7</v>
      </c>
      <c r="B8" s="529"/>
      <c r="C8" s="529"/>
      <c r="D8" s="529"/>
      <c r="E8" s="529"/>
    </row>
    <row r="9" spans="1:5" x14ac:dyDescent="0.25">
      <c r="A9" s="84"/>
      <c r="B9" s="84"/>
      <c r="C9" s="84"/>
      <c r="D9" s="84"/>
      <c r="E9" s="84"/>
    </row>
    <row r="10" spans="1:5" x14ac:dyDescent="0.25">
      <c r="A10" s="529" t="s">
        <v>622</v>
      </c>
      <c r="B10" s="529"/>
      <c r="C10" s="529"/>
      <c r="D10" s="529"/>
      <c r="E10" s="529"/>
    </row>
    <row r="11" spans="1:5" x14ac:dyDescent="0.25">
      <c r="A11" s="84"/>
      <c r="B11" s="84"/>
      <c r="C11" s="84"/>
      <c r="D11" s="84"/>
      <c r="E11" s="84"/>
    </row>
    <row r="14" spans="1:5" ht="19.350000000000001" customHeight="1" x14ac:dyDescent="0.25">
      <c r="A14" s="586" t="s">
        <v>540</v>
      </c>
      <c r="B14" s="586" t="s">
        <v>623</v>
      </c>
      <c r="C14" s="586" t="s">
        <v>624</v>
      </c>
      <c r="D14" s="586" t="s">
        <v>625</v>
      </c>
      <c r="E14" s="587"/>
    </row>
    <row r="15" spans="1:5" ht="21" customHeight="1" x14ac:dyDescent="0.25">
      <c r="A15" s="588"/>
      <c r="B15" s="588"/>
      <c r="C15" s="588"/>
      <c r="D15" s="87" t="s">
        <v>626</v>
      </c>
      <c r="E15" s="87" t="s">
        <v>627</v>
      </c>
    </row>
    <row r="16" spans="1:5" ht="20.25" customHeight="1" x14ac:dyDescent="0.25">
      <c r="A16" s="99" t="s">
        <v>541</v>
      </c>
      <c r="B16" s="452" t="s">
        <v>628</v>
      </c>
      <c r="C16" s="465">
        <v>386815.75329999998</v>
      </c>
      <c r="D16" s="465">
        <v>403815.83024520002</v>
      </c>
      <c r="E16" s="465">
        <v>419968.46345500799</v>
      </c>
    </row>
    <row r="17" spans="1:5" ht="20.25" customHeight="1" x14ac:dyDescent="0.25">
      <c r="A17" s="99" t="s">
        <v>269</v>
      </c>
      <c r="B17" s="87" t="s">
        <v>629</v>
      </c>
      <c r="C17" s="465">
        <v>2109.8506399999724</v>
      </c>
      <c r="D17" s="465">
        <v>2423.9601961599938</v>
      </c>
      <c r="E17" s="465">
        <v>2984.7947640063821</v>
      </c>
    </row>
    <row r="18" spans="1:5" ht="20.25" customHeight="1" x14ac:dyDescent="0.25">
      <c r="A18" s="99" t="s">
        <v>543</v>
      </c>
      <c r="B18" s="87" t="s">
        <v>630</v>
      </c>
      <c r="C18" s="465">
        <v>1.2983528352075426</v>
      </c>
      <c r="D18" s="465">
        <v>2.2377899944420037</v>
      </c>
      <c r="E18" s="465">
        <v>2.243831209963584</v>
      </c>
    </row>
    <row r="19" spans="1:5" ht="35.65" customHeight="1" x14ac:dyDescent="0.25">
      <c r="A19" s="98" t="s">
        <v>545</v>
      </c>
      <c r="B19" s="87" t="s">
        <v>629</v>
      </c>
      <c r="C19" s="465">
        <v>105.49253199999862</v>
      </c>
      <c r="D19" s="465">
        <v>121.1980098079997</v>
      </c>
      <c r="E19" s="465">
        <v>149.23973820031912</v>
      </c>
    </row>
  </sheetData>
  <mergeCells count="11">
    <mergeCell ref="C1:E1"/>
    <mergeCell ref="C2:E2"/>
    <mergeCell ref="C3:E3"/>
    <mergeCell ref="A5:E5"/>
    <mergeCell ref="A6:E6"/>
    <mergeCell ref="A8:E8"/>
    <mergeCell ref="A10:E10"/>
    <mergeCell ref="D14:E14"/>
    <mergeCell ref="A14:A15"/>
    <mergeCell ref="B14:B15"/>
    <mergeCell ref="C14:C15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65"/>
  <sheetViews>
    <sheetView topLeftCell="A2" workbookViewId="0">
      <pane xSplit="9" ySplit="4" topLeftCell="J6" activePane="bottomRight" state="frozen"/>
      <selection pane="topRight" activeCell="A2" sqref="A2"/>
      <selection pane="bottomLeft" activeCell="A2" sqref="A2"/>
      <selection pane="bottomRight" activeCell="J6" sqref="J6"/>
    </sheetView>
  </sheetViews>
  <sheetFormatPr defaultColWidth="8.85546875" defaultRowHeight="15" x14ac:dyDescent="0.25"/>
  <cols>
    <col min="1" max="1" width="4.140625" style="106" customWidth="1"/>
    <col min="2" max="2" width="12.140625" style="106" customWidth="1"/>
    <col min="3" max="3" width="19.85546875" style="106" customWidth="1"/>
    <col min="4" max="4" width="7.5703125" style="106" customWidth="1"/>
    <col min="5" max="6" width="10.140625" style="106" customWidth="1"/>
    <col min="7" max="7" width="6.5703125" style="106" customWidth="1"/>
    <col min="8" max="9" width="11.140625" style="106" customWidth="1"/>
    <col min="10" max="10" width="20.42578125" style="106" customWidth="1"/>
    <col min="11" max="11" width="19.140625" style="106" customWidth="1"/>
    <col min="12" max="12" width="16.5703125" style="106" customWidth="1"/>
    <col min="13" max="14" width="8.42578125" style="106" customWidth="1"/>
    <col min="15" max="15" width="6.140625" style="106" customWidth="1"/>
    <col min="16" max="16" width="8.85546875" style="106" bestFit="1" customWidth="1"/>
    <col min="17" max="17" width="7.5703125" style="106" customWidth="1"/>
    <col min="18" max="18" width="8.85546875" style="106" bestFit="1" customWidth="1"/>
    <col min="19" max="20" width="6.140625" style="106" customWidth="1"/>
    <col min="21" max="26" width="10.140625" style="106" customWidth="1"/>
    <col min="27" max="27" width="8.85546875" style="106" customWidth="1"/>
    <col min="28" max="28" width="8.85546875" style="106" bestFit="1" customWidth="1"/>
    <col min="29" max="16384" width="8.85546875" style="106"/>
  </cols>
  <sheetData>
    <row r="1" spans="1:28" x14ac:dyDescent="0.25">
      <c r="A1" s="107"/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590"/>
      <c r="U1" s="590"/>
      <c r="V1" s="108"/>
      <c r="W1" s="108"/>
      <c r="X1" s="108"/>
      <c r="Y1" s="108"/>
      <c r="Z1" s="108"/>
    </row>
    <row r="2" spans="1:28" x14ac:dyDescent="0.25">
      <c r="A2" s="107"/>
      <c r="B2" s="107"/>
      <c r="C2" s="107"/>
      <c r="D2" s="107"/>
      <c r="E2" s="107"/>
      <c r="F2" s="107"/>
      <c r="G2" s="107"/>
      <c r="H2" s="107"/>
      <c r="I2" s="107"/>
      <c r="J2" s="109" t="s">
        <v>631</v>
      </c>
      <c r="K2" s="109"/>
      <c r="L2" s="109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</row>
    <row r="3" spans="1:28" x14ac:dyDescent="0.2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10" t="s">
        <v>632</v>
      </c>
      <c r="V3" s="110"/>
      <c r="W3" s="110"/>
      <c r="X3" s="107" t="s">
        <v>633</v>
      </c>
      <c r="Y3" s="107"/>
      <c r="Z3" s="107"/>
    </row>
    <row r="4" spans="1:28" ht="125.25" x14ac:dyDescent="0.25">
      <c r="A4" s="111" t="s">
        <v>559</v>
      </c>
      <c r="B4" s="111" t="s">
        <v>634</v>
      </c>
      <c r="C4" s="111" t="s">
        <v>635</v>
      </c>
      <c r="D4" s="112" t="s">
        <v>636</v>
      </c>
      <c r="E4" s="112" t="s">
        <v>637</v>
      </c>
      <c r="F4" s="112" t="s">
        <v>638</v>
      </c>
      <c r="G4" s="112" t="s">
        <v>639</v>
      </c>
      <c r="H4" s="112" t="s">
        <v>640</v>
      </c>
      <c r="I4" s="112" t="s">
        <v>641</v>
      </c>
      <c r="J4" s="111" t="s">
        <v>642</v>
      </c>
      <c r="K4" s="111" t="s">
        <v>643</v>
      </c>
      <c r="L4" s="111" t="s">
        <v>644</v>
      </c>
      <c r="M4" s="111" t="s">
        <v>645</v>
      </c>
      <c r="N4" s="113" t="s">
        <v>646</v>
      </c>
      <c r="O4" s="111" t="s">
        <v>647</v>
      </c>
      <c r="P4" s="112" t="s">
        <v>648</v>
      </c>
      <c r="Q4" s="112" t="s">
        <v>649</v>
      </c>
      <c r="R4" s="111" t="s">
        <v>650</v>
      </c>
      <c r="S4" s="111" t="s">
        <v>651</v>
      </c>
      <c r="T4" s="111" t="s">
        <v>652</v>
      </c>
      <c r="U4" s="114" t="s">
        <v>653</v>
      </c>
      <c r="V4" s="114"/>
      <c r="W4" s="114"/>
      <c r="X4" s="115" t="s">
        <v>654</v>
      </c>
      <c r="Y4" s="115" t="s">
        <v>655</v>
      </c>
      <c r="Z4" s="115"/>
      <c r="AA4" s="116"/>
    </row>
    <row r="5" spans="1:28" x14ac:dyDescent="0.25">
      <c r="A5" s="111">
        <v>1</v>
      </c>
      <c r="B5" s="111">
        <v>2</v>
      </c>
      <c r="C5" s="111">
        <v>3</v>
      </c>
      <c r="D5" s="111">
        <v>4</v>
      </c>
      <c r="E5" s="111">
        <v>5</v>
      </c>
      <c r="F5" s="111">
        <v>6</v>
      </c>
      <c r="G5" s="111">
        <v>7</v>
      </c>
      <c r="H5" s="111">
        <v>8</v>
      </c>
      <c r="I5" s="111">
        <v>9</v>
      </c>
      <c r="J5" s="111">
        <v>10</v>
      </c>
      <c r="K5" s="111">
        <v>11</v>
      </c>
      <c r="L5" s="111">
        <v>12</v>
      </c>
      <c r="M5" s="111">
        <v>13</v>
      </c>
      <c r="N5" s="111">
        <v>14</v>
      </c>
      <c r="O5" s="111">
        <v>15</v>
      </c>
      <c r="P5" s="111">
        <v>16</v>
      </c>
      <c r="Q5" s="111">
        <v>17</v>
      </c>
      <c r="R5" s="111">
        <v>18</v>
      </c>
      <c r="S5" s="111">
        <v>19</v>
      </c>
      <c r="T5" s="111">
        <v>20</v>
      </c>
      <c r="U5" s="111">
        <v>21</v>
      </c>
      <c r="V5" s="111"/>
      <c r="W5" s="111"/>
      <c r="X5" s="115"/>
      <c r="Y5" s="115"/>
      <c r="Z5" s="115"/>
      <c r="AA5" s="116"/>
    </row>
    <row r="6" spans="1:28" s="117" customFormat="1" ht="24" x14ac:dyDescent="0.25">
      <c r="A6" s="118">
        <v>1</v>
      </c>
      <c r="B6" s="119" t="s">
        <v>656</v>
      </c>
      <c r="C6" s="120" t="s">
        <v>657</v>
      </c>
      <c r="D6" s="121"/>
      <c r="E6" s="121"/>
      <c r="F6" s="121"/>
      <c r="G6" s="122" t="s">
        <v>658</v>
      </c>
      <c r="H6" s="123" t="s">
        <v>659</v>
      </c>
      <c r="I6" s="123" t="s">
        <v>660</v>
      </c>
      <c r="J6" s="123" t="s">
        <v>661</v>
      </c>
      <c r="K6" s="123" t="s">
        <v>662</v>
      </c>
      <c r="L6" s="124" t="s">
        <v>663</v>
      </c>
      <c r="M6" s="123">
        <v>2004</v>
      </c>
      <c r="N6" s="123">
        <v>251</v>
      </c>
      <c r="O6" s="123">
        <v>240</v>
      </c>
      <c r="P6" s="123">
        <v>1</v>
      </c>
      <c r="Q6" s="123">
        <v>58</v>
      </c>
      <c r="R6" s="123">
        <f t="shared" ref="R6:R12" si="0">Q6*O6</f>
        <v>13920</v>
      </c>
      <c r="S6" s="123"/>
      <c r="T6" s="123"/>
      <c r="U6" s="125">
        <f t="shared" ref="U6:U12" si="1">R6</f>
        <v>13920</v>
      </c>
      <c r="V6" s="125"/>
      <c r="W6" s="125"/>
      <c r="X6" s="126">
        <v>3480</v>
      </c>
      <c r="Y6" s="126"/>
      <c r="Z6" s="126"/>
      <c r="AA6" s="127"/>
    </row>
    <row r="7" spans="1:28" s="117" customFormat="1" ht="24" x14ac:dyDescent="0.25">
      <c r="A7" s="118">
        <v>2</v>
      </c>
      <c r="B7" s="119" t="s">
        <v>656</v>
      </c>
      <c r="C7" s="120" t="s">
        <v>657</v>
      </c>
      <c r="D7" s="121"/>
      <c r="E7" s="121"/>
      <c r="F7" s="121"/>
      <c r="G7" s="122" t="s">
        <v>658</v>
      </c>
      <c r="H7" s="123" t="s">
        <v>659</v>
      </c>
      <c r="I7" s="123" t="s">
        <v>664</v>
      </c>
      <c r="J7" s="123" t="s">
        <v>665</v>
      </c>
      <c r="K7" s="123" t="s">
        <v>666</v>
      </c>
      <c r="L7" s="124" t="s">
        <v>667</v>
      </c>
      <c r="M7" s="123">
        <v>2004</v>
      </c>
      <c r="N7" s="123">
        <v>251</v>
      </c>
      <c r="O7" s="123">
        <v>240</v>
      </c>
      <c r="P7" s="123">
        <v>1</v>
      </c>
      <c r="Q7" s="123">
        <v>58</v>
      </c>
      <c r="R7" s="123">
        <f t="shared" si="0"/>
        <v>13920</v>
      </c>
      <c r="S7" s="123"/>
      <c r="T7" s="123"/>
      <c r="U7" s="125">
        <f t="shared" si="1"/>
        <v>13920</v>
      </c>
      <c r="V7" s="125"/>
      <c r="W7" s="125"/>
      <c r="X7" s="126">
        <v>3480</v>
      </c>
      <c r="Y7" s="126"/>
      <c r="Z7" s="126"/>
      <c r="AA7" s="127"/>
    </row>
    <row r="8" spans="1:28" s="117" customFormat="1" ht="24" x14ac:dyDescent="0.25">
      <c r="A8" s="118">
        <v>3</v>
      </c>
      <c r="B8" s="119" t="s">
        <v>656</v>
      </c>
      <c r="C8" s="120" t="s">
        <v>668</v>
      </c>
      <c r="D8" s="119"/>
      <c r="E8" s="119"/>
      <c r="F8" s="119"/>
      <c r="G8" s="122" t="s">
        <v>658</v>
      </c>
      <c r="H8" s="123" t="s">
        <v>659</v>
      </c>
      <c r="I8" s="123" t="s">
        <v>669</v>
      </c>
      <c r="J8" s="123" t="s">
        <v>670</v>
      </c>
      <c r="K8" s="123" t="s">
        <v>671</v>
      </c>
      <c r="L8" s="124" t="s">
        <v>672</v>
      </c>
      <c r="M8" s="123">
        <v>2004</v>
      </c>
      <c r="N8" s="123">
        <v>251</v>
      </c>
      <c r="O8" s="123">
        <v>240</v>
      </c>
      <c r="P8" s="123">
        <v>1</v>
      </c>
      <c r="Q8" s="123">
        <v>58</v>
      </c>
      <c r="R8" s="123">
        <f t="shared" si="0"/>
        <v>13920</v>
      </c>
      <c r="S8" s="123"/>
      <c r="T8" s="123"/>
      <c r="U8" s="125">
        <f t="shared" si="1"/>
        <v>13920</v>
      </c>
      <c r="V8" s="125"/>
      <c r="W8" s="125"/>
      <c r="X8" s="126">
        <v>3480</v>
      </c>
      <c r="Y8" s="126"/>
      <c r="Z8" s="126"/>
      <c r="AA8" s="127"/>
    </row>
    <row r="9" spans="1:28" s="117" customFormat="1" ht="24" x14ac:dyDescent="0.25">
      <c r="A9" s="118">
        <v>4</v>
      </c>
      <c r="B9" s="119" t="s">
        <v>656</v>
      </c>
      <c r="C9" s="120" t="s">
        <v>673</v>
      </c>
      <c r="D9" s="119"/>
      <c r="E9" s="119"/>
      <c r="F9" s="119"/>
      <c r="G9" s="122" t="s">
        <v>658</v>
      </c>
      <c r="H9" s="123" t="s">
        <v>659</v>
      </c>
      <c r="I9" s="123" t="s">
        <v>674</v>
      </c>
      <c r="J9" s="123" t="s">
        <v>675</v>
      </c>
      <c r="K9" s="123" t="s">
        <v>676</v>
      </c>
      <c r="L9" s="124" t="s">
        <v>677</v>
      </c>
      <c r="M9" s="123">
        <v>2004</v>
      </c>
      <c r="N9" s="123">
        <v>251</v>
      </c>
      <c r="O9" s="123">
        <v>240</v>
      </c>
      <c r="P9" s="123">
        <v>1</v>
      </c>
      <c r="Q9" s="123">
        <v>58</v>
      </c>
      <c r="R9" s="123">
        <f t="shared" si="0"/>
        <v>13920</v>
      </c>
      <c r="S9" s="123"/>
      <c r="T9" s="123"/>
      <c r="U9" s="125">
        <f t="shared" si="1"/>
        <v>13920</v>
      </c>
      <c r="V9" s="125"/>
      <c r="W9" s="125"/>
      <c r="X9" s="126">
        <v>3480</v>
      </c>
      <c r="Y9" s="126"/>
      <c r="Z9" s="126"/>
      <c r="AA9" s="127"/>
    </row>
    <row r="10" spans="1:28" s="117" customFormat="1" ht="36" x14ac:dyDescent="0.25">
      <c r="A10" s="118">
        <v>5</v>
      </c>
      <c r="B10" s="119" t="s">
        <v>656</v>
      </c>
      <c r="C10" s="120" t="s">
        <v>678</v>
      </c>
      <c r="D10" s="121"/>
      <c r="E10" s="121"/>
      <c r="F10" s="121"/>
      <c r="G10" s="122" t="s">
        <v>658</v>
      </c>
      <c r="H10" s="123" t="s">
        <v>659</v>
      </c>
      <c r="I10" s="123" t="s">
        <v>679</v>
      </c>
      <c r="J10" s="123" t="s">
        <v>680</v>
      </c>
      <c r="K10" s="123" t="s">
        <v>681</v>
      </c>
      <c r="L10" s="124" t="s">
        <v>682</v>
      </c>
      <c r="M10" s="123">
        <v>2004</v>
      </c>
      <c r="N10" s="123">
        <v>251</v>
      </c>
      <c r="O10" s="123">
        <v>240</v>
      </c>
      <c r="P10" s="123">
        <v>1</v>
      </c>
      <c r="Q10" s="123">
        <v>58</v>
      </c>
      <c r="R10" s="123">
        <f t="shared" si="0"/>
        <v>13920</v>
      </c>
      <c r="S10" s="123"/>
      <c r="T10" s="123"/>
      <c r="U10" s="125">
        <f t="shared" si="1"/>
        <v>13920</v>
      </c>
      <c r="V10" s="125"/>
      <c r="W10" s="125"/>
      <c r="X10" s="126">
        <v>3480</v>
      </c>
      <c r="Y10" s="126"/>
      <c r="Z10" s="126"/>
      <c r="AA10" s="127"/>
    </row>
    <row r="11" spans="1:28" s="117" customFormat="1" ht="36" x14ac:dyDescent="0.25">
      <c r="A11" s="118">
        <v>6</v>
      </c>
      <c r="B11" s="119" t="s">
        <v>656</v>
      </c>
      <c r="C11" s="120" t="s">
        <v>683</v>
      </c>
      <c r="D11" s="121"/>
      <c r="E11" s="121"/>
      <c r="F11" s="121"/>
      <c r="G11" s="122" t="s">
        <v>658</v>
      </c>
      <c r="H11" s="123" t="s">
        <v>659</v>
      </c>
      <c r="I11" s="123" t="s">
        <v>684</v>
      </c>
      <c r="J11" s="123" t="s">
        <v>685</v>
      </c>
      <c r="K11" s="123" t="s">
        <v>686</v>
      </c>
      <c r="L11" s="124" t="s">
        <v>687</v>
      </c>
      <c r="M11" s="123">
        <v>2001</v>
      </c>
      <c r="N11" s="123">
        <v>251</v>
      </c>
      <c r="O11" s="123">
        <v>150</v>
      </c>
      <c r="P11" s="123">
        <v>1</v>
      </c>
      <c r="Q11" s="123">
        <v>26</v>
      </c>
      <c r="R11" s="123">
        <f t="shared" si="0"/>
        <v>3900</v>
      </c>
      <c r="S11" s="123"/>
      <c r="T11" s="123"/>
      <c r="U11" s="125">
        <f t="shared" si="1"/>
        <v>3900</v>
      </c>
      <c r="V11" s="125"/>
      <c r="W11" s="125"/>
      <c r="X11" s="126">
        <v>975</v>
      </c>
      <c r="Y11" s="126"/>
      <c r="Z11" s="126"/>
      <c r="AA11" s="127"/>
    </row>
    <row r="12" spans="1:28" s="117" customFormat="1" ht="38.25" customHeight="1" x14ac:dyDescent="0.25">
      <c r="A12" s="118">
        <v>7</v>
      </c>
      <c r="B12" s="119" t="s">
        <v>656</v>
      </c>
      <c r="C12" s="120" t="s">
        <v>688</v>
      </c>
      <c r="D12" s="121"/>
      <c r="E12" s="121"/>
      <c r="F12" s="121"/>
      <c r="G12" s="122" t="s">
        <v>689</v>
      </c>
      <c r="H12" s="123" t="s">
        <v>659</v>
      </c>
      <c r="I12" s="123" t="s">
        <v>690</v>
      </c>
      <c r="J12" s="123" t="s">
        <v>691</v>
      </c>
      <c r="K12" s="123" t="s">
        <v>692</v>
      </c>
      <c r="L12" s="124" t="s">
        <v>693</v>
      </c>
      <c r="M12" s="123">
        <v>2013</v>
      </c>
      <c r="N12" s="123">
        <v>251</v>
      </c>
      <c r="O12" s="123">
        <v>222</v>
      </c>
      <c r="P12" s="123">
        <v>1</v>
      </c>
      <c r="Q12" s="123">
        <v>51</v>
      </c>
      <c r="R12" s="123">
        <f t="shared" si="0"/>
        <v>11322</v>
      </c>
      <c r="S12" s="123"/>
      <c r="T12" s="123"/>
      <c r="U12" s="125">
        <f t="shared" si="1"/>
        <v>11322</v>
      </c>
      <c r="V12" s="125"/>
      <c r="W12" s="125"/>
      <c r="X12" s="126">
        <v>2830.5</v>
      </c>
      <c r="Y12" s="126"/>
      <c r="Z12" s="126"/>
      <c r="AA12" s="127"/>
      <c r="AB12" s="128"/>
    </row>
    <row r="13" spans="1:28" ht="24" x14ac:dyDescent="0.25">
      <c r="A13" s="118">
        <v>8</v>
      </c>
      <c r="B13" s="119"/>
      <c r="C13" s="121" t="s">
        <v>694</v>
      </c>
      <c r="D13" s="121"/>
      <c r="E13" s="121"/>
      <c r="F13" s="121"/>
      <c r="G13" s="122"/>
      <c r="H13" s="123"/>
      <c r="I13" s="123" t="s">
        <v>695</v>
      </c>
      <c r="J13" s="123" t="s">
        <v>696</v>
      </c>
      <c r="K13" s="123" t="s">
        <v>697</v>
      </c>
      <c r="L13" s="124" t="s">
        <v>697</v>
      </c>
      <c r="M13" s="123">
        <v>2013</v>
      </c>
      <c r="N13" s="123"/>
      <c r="O13" s="124" t="s">
        <v>698</v>
      </c>
      <c r="P13" s="123"/>
      <c r="Q13" s="123"/>
      <c r="R13" s="123"/>
      <c r="S13" s="123"/>
      <c r="T13" s="123"/>
      <c r="U13" s="125"/>
      <c r="V13" s="125"/>
      <c r="W13" s="125"/>
      <c r="X13" s="126"/>
      <c r="Y13" s="126"/>
      <c r="Z13" s="126"/>
      <c r="AA13" s="127"/>
      <c r="AB13" s="129"/>
    </row>
    <row r="14" spans="1:28" s="117" customFormat="1" ht="24" x14ac:dyDescent="0.2">
      <c r="A14" s="118">
        <v>9</v>
      </c>
      <c r="B14" s="119" t="s">
        <v>699</v>
      </c>
      <c r="C14" s="120" t="s">
        <v>700</v>
      </c>
      <c r="D14" s="119"/>
      <c r="E14" s="119" t="s">
        <v>701</v>
      </c>
      <c r="F14" s="119"/>
      <c r="G14" s="122" t="s">
        <v>689</v>
      </c>
      <c r="H14" s="123" t="s">
        <v>702</v>
      </c>
      <c r="I14" s="130" t="s">
        <v>703</v>
      </c>
      <c r="J14" s="123" t="s">
        <v>704</v>
      </c>
      <c r="K14" s="123" t="s">
        <v>705</v>
      </c>
      <c r="L14" s="123" t="s">
        <v>706</v>
      </c>
      <c r="M14" s="123">
        <v>2015</v>
      </c>
      <c r="N14" s="123">
        <v>251</v>
      </c>
      <c r="O14" s="123">
        <v>128</v>
      </c>
      <c r="P14" s="123">
        <v>1</v>
      </c>
      <c r="Q14" s="123">
        <v>14.5</v>
      </c>
      <c r="R14" s="123">
        <f>Q14*O14</f>
        <v>1856</v>
      </c>
      <c r="S14" s="123"/>
      <c r="T14" s="123"/>
      <c r="U14" s="125">
        <f>R14</f>
        <v>1856</v>
      </c>
      <c r="V14" s="125"/>
      <c r="W14" s="125"/>
      <c r="X14" s="126"/>
      <c r="Y14" s="126"/>
      <c r="Z14" s="126"/>
      <c r="AA14" s="127"/>
      <c r="AB14" s="117" t="s">
        <v>707</v>
      </c>
    </row>
    <row r="15" spans="1:28" s="117" customFormat="1" ht="36" x14ac:dyDescent="0.2">
      <c r="A15" s="118">
        <v>10</v>
      </c>
      <c r="B15" s="119"/>
      <c r="C15" s="121" t="s">
        <v>708</v>
      </c>
      <c r="D15" s="121"/>
      <c r="E15" s="121"/>
      <c r="F15" s="121"/>
      <c r="G15" s="122"/>
      <c r="H15" s="123"/>
      <c r="I15" s="130" t="s">
        <v>709</v>
      </c>
      <c r="J15" s="123" t="s">
        <v>710</v>
      </c>
      <c r="K15" s="124" t="s">
        <v>698</v>
      </c>
      <c r="L15" s="124" t="s">
        <v>711</v>
      </c>
      <c r="M15" s="123">
        <v>2016</v>
      </c>
      <c r="N15" s="123"/>
      <c r="O15" s="124" t="s">
        <v>698</v>
      </c>
      <c r="P15" s="123"/>
      <c r="Q15" s="123"/>
      <c r="R15" s="123"/>
      <c r="S15" s="123"/>
      <c r="T15" s="123"/>
      <c r="U15" s="125"/>
      <c r="V15" s="125"/>
      <c r="W15" s="125"/>
      <c r="X15" s="126"/>
      <c r="Y15" s="126"/>
      <c r="Z15" s="126"/>
      <c r="AA15" s="127"/>
    </row>
    <row r="16" spans="1:28" s="131" customFormat="1" ht="24" customHeight="1" x14ac:dyDescent="0.25">
      <c r="A16" s="132">
        <v>11</v>
      </c>
      <c r="B16" s="133" t="s">
        <v>656</v>
      </c>
      <c r="C16" s="134" t="s">
        <v>712</v>
      </c>
      <c r="D16" s="135"/>
      <c r="E16" s="134" t="s">
        <v>713</v>
      </c>
      <c r="F16" s="134" t="s">
        <v>714</v>
      </c>
      <c r="G16" s="136" t="s">
        <v>689</v>
      </c>
      <c r="H16" s="137" t="s">
        <v>659</v>
      </c>
      <c r="I16" s="137" t="s">
        <v>715</v>
      </c>
      <c r="J16" s="137" t="s">
        <v>716</v>
      </c>
      <c r="K16" s="137" t="s">
        <v>717</v>
      </c>
      <c r="L16" s="138"/>
      <c r="M16" s="137">
        <v>2004</v>
      </c>
      <c r="N16" s="137">
        <v>251</v>
      </c>
      <c r="O16" s="137">
        <v>46</v>
      </c>
      <c r="P16" s="137">
        <v>1</v>
      </c>
      <c r="Q16" s="137">
        <v>6</v>
      </c>
      <c r="R16" s="137">
        <f>Q16*O16</f>
        <v>276</v>
      </c>
      <c r="S16" s="137"/>
      <c r="T16" s="137"/>
      <c r="U16" s="139">
        <f>R16</f>
        <v>276</v>
      </c>
      <c r="V16" s="139"/>
      <c r="W16" s="139"/>
      <c r="X16" s="140">
        <v>69</v>
      </c>
      <c r="Y16" s="140"/>
      <c r="Z16" s="140"/>
      <c r="AA16" s="141"/>
    </row>
    <row r="17" spans="1:28" ht="36" x14ac:dyDescent="0.25">
      <c r="A17" s="142">
        <v>12</v>
      </c>
      <c r="B17" s="143"/>
      <c r="C17" s="144" t="s">
        <v>718</v>
      </c>
      <c r="D17" s="144" t="s">
        <v>719</v>
      </c>
      <c r="E17" s="144"/>
      <c r="F17" s="144"/>
      <c r="G17" s="145"/>
      <c r="H17" s="146" t="s">
        <v>659</v>
      </c>
      <c r="I17" s="146" t="s">
        <v>720</v>
      </c>
      <c r="J17" s="146" t="s">
        <v>721</v>
      </c>
      <c r="K17" s="146"/>
      <c r="L17" s="147"/>
      <c r="M17" s="146">
        <v>2004</v>
      </c>
      <c r="N17" s="146"/>
      <c r="O17" s="146">
        <v>220</v>
      </c>
      <c r="P17" s="146">
        <v>1</v>
      </c>
      <c r="Q17" s="146">
        <v>51</v>
      </c>
      <c r="R17" s="146">
        <f>Q17*O17</f>
        <v>11220</v>
      </c>
      <c r="S17" s="146"/>
      <c r="T17" s="146"/>
      <c r="U17" s="148"/>
      <c r="V17" s="148"/>
      <c r="W17" s="148"/>
      <c r="X17" s="126">
        <v>2805</v>
      </c>
      <c r="Y17" s="126"/>
      <c r="Z17" s="126"/>
      <c r="AA17" s="127"/>
      <c r="AB17" s="149"/>
    </row>
    <row r="18" spans="1:28" s="131" customFormat="1" ht="23.25" customHeight="1" x14ac:dyDescent="0.25">
      <c r="A18" s="132">
        <v>13</v>
      </c>
      <c r="B18" s="133" t="s">
        <v>656</v>
      </c>
      <c r="C18" s="134" t="s">
        <v>722</v>
      </c>
      <c r="D18" s="135"/>
      <c r="E18" s="134" t="s">
        <v>723</v>
      </c>
      <c r="F18" s="134" t="s">
        <v>724</v>
      </c>
      <c r="G18" s="136"/>
      <c r="H18" s="137" t="s">
        <v>725</v>
      </c>
      <c r="I18" s="137" t="s">
        <v>726</v>
      </c>
      <c r="J18" s="137">
        <v>153302</v>
      </c>
      <c r="K18" s="137">
        <v>19329</v>
      </c>
      <c r="L18" s="138"/>
      <c r="M18" s="137">
        <v>2004</v>
      </c>
      <c r="N18" s="137">
        <v>251</v>
      </c>
      <c r="O18" s="137">
        <v>180</v>
      </c>
      <c r="P18" s="137">
        <v>1</v>
      </c>
      <c r="Q18" s="137">
        <v>11.5</v>
      </c>
      <c r="R18" s="137">
        <f>Q18*O18</f>
        <v>2070</v>
      </c>
      <c r="S18" s="137"/>
      <c r="T18" s="137"/>
      <c r="U18" s="139">
        <f>R18</f>
        <v>2070</v>
      </c>
      <c r="V18" s="139"/>
      <c r="W18" s="139"/>
      <c r="X18" s="140">
        <v>517.5</v>
      </c>
      <c r="Y18" s="140"/>
      <c r="Z18" s="140"/>
      <c r="AA18" s="141"/>
    </row>
    <row r="19" spans="1:28" s="131" customFormat="1" ht="24" x14ac:dyDescent="0.25">
      <c r="A19" s="132">
        <v>14</v>
      </c>
      <c r="B19" s="133"/>
      <c r="C19" s="135" t="s">
        <v>727</v>
      </c>
      <c r="D19" s="135" t="s">
        <v>728</v>
      </c>
      <c r="E19" s="135"/>
      <c r="F19" s="135"/>
      <c r="G19" s="136"/>
      <c r="H19" s="137"/>
      <c r="I19" s="137" t="s">
        <v>729</v>
      </c>
      <c r="J19" s="137"/>
      <c r="K19" s="137"/>
      <c r="L19" s="138"/>
      <c r="M19" s="137"/>
      <c r="N19" s="137"/>
      <c r="O19" s="137"/>
      <c r="P19" s="137"/>
      <c r="Q19" s="137"/>
      <c r="R19" s="137"/>
      <c r="S19" s="137"/>
      <c r="T19" s="137"/>
      <c r="U19" s="139"/>
      <c r="V19" s="139"/>
      <c r="W19" s="139"/>
      <c r="X19" s="140">
        <v>517.5</v>
      </c>
      <c r="Y19" s="140"/>
      <c r="Z19" s="140"/>
      <c r="AA19" s="141"/>
    </row>
    <row r="20" spans="1:28" s="131" customFormat="1" ht="24" x14ac:dyDescent="0.25">
      <c r="A20" s="132">
        <v>15</v>
      </c>
      <c r="B20" s="133"/>
      <c r="C20" s="150" t="s">
        <v>730</v>
      </c>
      <c r="D20" s="150" t="s">
        <v>731</v>
      </c>
      <c r="E20" s="150"/>
      <c r="F20" s="150"/>
      <c r="G20" s="136"/>
      <c r="H20" s="151"/>
      <c r="I20" s="137" t="s">
        <v>732</v>
      </c>
      <c r="J20" s="137"/>
      <c r="K20" s="137"/>
      <c r="L20" s="138"/>
      <c r="M20" s="137"/>
      <c r="N20" s="137"/>
      <c r="O20" s="137"/>
      <c r="P20" s="137"/>
      <c r="Q20" s="137"/>
      <c r="R20" s="137"/>
      <c r="S20" s="137"/>
      <c r="T20" s="137"/>
      <c r="U20" s="139"/>
      <c r="V20" s="139"/>
      <c r="W20" s="139"/>
      <c r="X20" s="140">
        <v>517.5</v>
      </c>
      <c r="Y20" s="140">
        <v>2070</v>
      </c>
      <c r="Z20" s="140"/>
      <c r="AA20" s="141"/>
    </row>
    <row r="21" spans="1:28" s="131" customFormat="1" ht="25.5" customHeight="1" x14ac:dyDescent="0.25">
      <c r="A21" s="132">
        <v>16</v>
      </c>
      <c r="B21" s="133" t="s">
        <v>656</v>
      </c>
      <c r="C21" s="134" t="s">
        <v>733</v>
      </c>
      <c r="D21" s="135"/>
      <c r="E21" s="134" t="s">
        <v>723</v>
      </c>
      <c r="F21" s="134" t="s">
        <v>734</v>
      </c>
      <c r="G21" s="136"/>
      <c r="H21" s="137" t="s">
        <v>659</v>
      </c>
      <c r="I21" s="137" t="s">
        <v>735</v>
      </c>
      <c r="J21" s="137" t="s">
        <v>736</v>
      </c>
      <c r="K21" s="137"/>
      <c r="L21" s="138"/>
      <c r="M21" s="137">
        <v>2008</v>
      </c>
      <c r="N21" s="137">
        <v>251</v>
      </c>
      <c r="O21" s="137">
        <v>90</v>
      </c>
      <c r="P21" s="137">
        <v>1</v>
      </c>
      <c r="Q21" s="137">
        <v>11.5</v>
      </c>
      <c r="R21" s="137">
        <f>Q21*O21</f>
        <v>1035</v>
      </c>
      <c r="S21" s="137"/>
      <c r="T21" s="137"/>
      <c r="U21" s="139">
        <f>R21</f>
        <v>1035</v>
      </c>
      <c r="V21" s="139"/>
      <c r="W21" s="139"/>
      <c r="X21" s="140">
        <v>258.75</v>
      </c>
      <c r="Y21" s="140"/>
      <c r="Z21" s="140"/>
      <c r="AA21" s="141"/>
    </row>
    <row r="22" spans="1:28" s="131" customFormat="1" ht="46.5" customHeight="1" x14ac:dyDescent="0.25">
      <c r="A22" s="132">
        <v>17</v>
      </c>
      <c r="B22" s="133" t="s">
        <v>656</v>
      </c>
      <c r="C22" s="134" t="s">
        <v>737</v>
      </c>
      <c r="D22" s="135"/>
      <c r="E22" s="134" t="s">
        <v>738</v>
      </c>
      <c r="F22" s="134" t="s">
        <v>739</v>
      </c>
      <c r="G22" s="136"/>
      <c r="H22" s="137" t="s">
        <v>659</v>
      </c>
      <c r="I22" s="137" t="s">
        <v>740</v>
      </c>
      <c r="J22" s="137" t="s">
        <v>698</v>
      </c>
      <c r="K22" s="137"/>
      <c r="L22" s="138"/>
      <c r="M22" s="137">
        <v>2004</v>
      </c>
      <c r="N22" s="137">
        <v>251</v>
      </c>
      <c r="O22" s="137">
        <v>235</v>
      </c>
      <c r="P22" s="137">
        <v>1</v>
      </c>
      <c r="Q22" s="137">
        <v>11.5</v>
      </c>
      <c r="R22" s="137">
        <f>Q22*O22</f>
        <v>2702.5</v>
      </c>
      <c r="S22" s="137"/>
      <c r="T22" s="137"/>
      <c r="U22" s="139">
        <f>R22</f>
        <v>2702.5</v>
      </c>
      <c r="V22" s="139"/>
      <c r="W22" s="139"/>
      <c r="X22" s="140">
        <v>675.63</v>
      </c>
      <c r="Y22" s="140"/>
      <c r="Z22" s="140"/>
      <c r="AA22" s="141"/>
    </row>
    <row r="23" spans="1:28" s="152" customFormat="1" ht="24.75" customHeight="1" x14ac:dyDescent="0.25">
      <c r="A23" s="153">
        <v>18</v>
      </c>
      <c r="B23" s="154" t="s">
        <v>656</v>
      </c>
      <c r="C23" s="155" t="s">
        <v>741</v>
      </c>
      <c r="D23" s="154"/>
      <c r="E23" s="154"/>
      <c r="F23" s="154"/>
      <c r="G23" s="156"/>
      <c r="H23" s="157" t="s">
        <v>659</v>
      </c>
      <c r="I23" s="157" t="s">
        <v>742</v>
      </c>
      <c r="J23" s="157" t="s">
        <v>743</v>
      </c>
      <c r="K23" s="157"/>
      <c r="L23" s="158"/>
      <c r="M23" s="157">
        <v>2010</v>
      </c>
      <c r="N23" s="157">
        <v>251</v>
      </c>
      <c r="O23" s="157">
        <v>74</v>
      </c>
      <c r="P23" s="157">
        <v>1</v>
      </c>
      <c r="Q23" s="157">
        <v>12.5</v>
      </c>
      <c r="R23" s="157">
        <f>Q23*O23</f>
        <v>925</v>
      </c>
      <c r="S23" s="157"/>
      <c r="T23" s="157"/>
      <c r="U23" s="159">
        <f>R23</f>
        <v>925</v>
      </c>
      <c r="V23" s="159"/>
      <c r="W23" s="159"/>
      <c r="X23" s="160">
        <v>231.25</v>
      </c>
      <c r="Y23" s="160"/>
      <c r="Z23" s="160"/>
      <c r="AA23" s="161"/>
    </row>
    <row r="24" spans="1:28" ht="36" x14ac:dyDescent="0.25">
      <c r="A24" s="142">
        <v>19</v>
      </c>
      <c r="B24" s="143"/>
      <c r="C24" s="144" t="s">
        <v>744</v>
      </c>
      <c r="D24" s="144" t="s">
        <v>745</v>
      </c>
      <c r="E24" s="144"/>
      <c r="F24" s="144"/>
      <c r="G24" s="145"/>
      <c r="H24" s="146"/>
      <c r="I24" s="146" t="s">
        <v>746</v>
      </c>
      <c r="J24" s="146" t="s">
        <v>747</v>
      </c>
      <c r="K24" s="146"/>
      <c r="L24" s="147"/>
      <c r="M24" s="146"/>
      <c r="N24" s="146"/>
      <c r="O24" s="147" t="s">
        <v>748</v>
      </c>
      <c r="P24" s="146"/>
      <c r="Q24" s="146"/>
      <c r="R24" s="146"/>
      <c r="S24" s="146"/>
      <c r="T24" s="146"/>
      <c r="U24" s="148"/>
      <c r="V24" s="148"/>
      <c r="W24" s="148"/>
      <c r="X24" s="126"/>
      <c r="Y24" s="126">
        <v>2730</v>
      </c>
      <c r="Z24" s="126"/>
      <c r="AA24" s="127"/>
    </row>
    <row r="25" spans="1:28" s="162" customFormat="1" ht="24" x14ac:dyDescent="0.25">
      <c r="A25" s="118">
        <v>20</v>
      </c>
      <c r="B25" s="119"/>
      <c r="C25" s="121" t="s">
        <v>749</v>
      </c>
      <c r="D25" s="121" t="s">
        <v>750</v>
      </c>
      <c r="E25" s="121"/>
      <c r="F25" s="121"/>
      <c r="G25" s="122"/>
      <c r="H25" s="123"/>
      <c r="I25" s="123" t="s">
        <v>751</v>
      </c>
      <c r="J25" s="123" t="s">
        <v>752</v>
      </c>
      <c r="K25" s="123" t="s">
        <v>753</v>
      </c>
      <c r="L25" s="124" t="s">
        <v>698</v>
      </c>
      <c r="M25" s="123">
        <v>2004</v>
      </c>
      <c r="N25" s="123"/>
      <c r="O25" s="123">
        <v>95</v>
      </c>
      <c r="P25" s="123"/>
      <c r="Q25" s="123"/>
      <c r="R25" s="123"/>
      <c r="S25" s="123"/>
      <c r="T25" s="123"/>
      <c r="U25" s="125"/>
      <c r="V25" s="125"/>
      <c r="W25" s="125"/>
      <c r="X25" s="126"/>
      <c r="Y25" s="126"/>
      <c r="Z25" s="126"/>
      <c r="AA25" s="127"/>
    </row>
    <row r="26" spans="1:28" s="162" customFormat="1" ht="24" x14ac:dyDescent="0.25">
      <c r="A26" s="118">
        <v>21</v>
      </c>
      <c r="B26" s="119"/>
      <c r="C26" s="121" t="s">
        <v>754</v>
      </c>
      <c r="D26" s="121" t="s">
        <v>719</v>
      </c>
      <c r="E26" s="121"/>
      <c r="F26" s="121"/>
      <c r="G26" s="122"/>
      <c r="H26" s="123"/>
      <c r="I26" s="123" t="s">
        <v>755</v>
      </c>
      <c r="J26" s="123" t="s">
        <v>756</v>
      </c>
      <c r="K26" s="123" t="s">
        <v>757</v>
      </c>
      <c r="L26" s="124" t="s">
        <v>698</v>
      </c>
      <c r="M26" s="123">
        <v>2004</v>
      </c>
      <c r="N26" s="123"/>
      <c r="O26" s="123">
        <v>95</v>
      </c>
      <c r="P26" s="123"/>
      <c r="Q26" s="123"/>
      <c r="R26" s="123"/>
      <c r="S26" s="123"/>
      <c r="T26" s="123"/>
      <c r="U26" s="125"/>
      <c r="V26" s="125"/>
      <c r="W26" s="125"/>
      <c r="X26" s="126">
        <v>118.75</v>
      </c>
      <c r="Y26" s="126"/>
      <c r="Z26" s="126"/>
      <c r="AA26" s="127"/>
    </row>
    <row r="27" spans="1:28" s="162" customFormat="1" ht="48" x14ac:dyDescent="0.25">
      <c r="A27" s="118">
        <v>22</v>
      </c>
      <c r="B27" s="119"/>
      <c r="C27" s="121" t="s">
        <v>758</v>
      </c>
      <c r="D27" s="121" t="s">
        <v>759</v>
      </c>
      <c r="E27" s="121"/>
      <c r="F27" s="121"/>
      <c r="G27" s="122"/>
      <c r="H27" s="123"/>
      <c r="I27" s="123" t="s">
        <v>760</v>
      </c>
      <c r="J27" s="123" t="s">
        <v>761</v>
      </c>
      <c r="K27" s="123" t="s">
        <v>762</v>
      </c>
      <c r="L27" s="124" t="s">
        <v>763</v>
      </c>
      <c r="M27" s="123">
        <v>2004</v>
      </c>
      <c r="N27" s="123"/>
      <c r="O27" s="123">
        <v>240</v>
      </c>
      <c r="P27" s="123"/>
      <c r="Q27" s="123"/>
      <c r="R27" s="123"/>
      <c r="S27" s="123"/>
      <c r="T27" s="123"/>
      <c r="U27" s="125"/>
      <c r="V27" s="125"/>
      <c r="W27" s="125"/>
      <c r="X27" s="126"/>
      <c r="Y27" s="126">
        <v>10560</v>
      </c>
      <c r="Z27" s="126"/>
      <c r="AA27" s="127"/>
    </row>
    <row r="28" spans="1:28" ht="24" x14ac:dyDescent="0.25">
      <c r="A28" s="163"/>
      <c r="B28" s="163"/>
      <c r="C28" s="163" t="s">
        <v>764</v>
      </c>
      <c r="D28" s="163"/>
      <c r="E28" s="163"/>
      <c r="F28" s="163"/>
      <c r="G28" s="163"/>
      <c r="H28" s="164"/>
      <c r="I28" s="164"/>
      <c r="J28" s="164"/>
      <c r="K28" s="164"/>
      <c r="L28" s="165"/>
      <c r="M28" s="164"/>
      <c r="N28" s="164"/>
      <c r="O28" s="164"/>
      <c r="P28" s="164"/>
      <c r="Q28" s="164"/>
      <c r="R28" s="164"/>
      <c r="S28" s="164"/>
      <c r="T28" s="164"/>
      <c r="U28" s="166">
        <f>SUM(U6:U27)</f>
        <v>93686.5</v>
      </c>
      <c r="V28" s="166">
        <f>U28/1000</f>
        <v>93.686499999999995</v>
      </c>
      <c r="W28" s="166"/>
      <c r="X28" s="167"/>
      <c r="Y28" s="167"/>
      <c r="Z28" s="167"/>
      <c r="AA28" s="127"/>
    </row>
    <row r="29" spans="1:28" ht="24" x14ac:dyDescent="0.25">
      <c r="A29" s="168"/>
      <c r="B29" s="169"/>
      <c r="C29" s="163" t="s">
        <v>765</v>
      </c>
      <c r="D29" s="170"/>
      <c r="E29" s="170"/>
      <c r="F29" s="170"/>
      <c r="G29" s="170"/>
      <c r="H29" s="171"/>
      <c r="I29" s="164"/>
      <c r="J29" s="164"/>
      <c r="K29" s="164"/>
      <c r="L29" s="165"/>
      <c r="M29" s="164"/>
      <c r="N29" s="164"/>
      <c r="O29" s="164"/>
      <c r="P29" s="164"/>
      <c r="Q29" s="164"/>
      <c r="R29" s="164"/>
      <c r="S29" s="164"/>
      <c r="T29" s="164"/>
      <c r="U29" s="166">
        <f>U28/4</f>
        <v>23421.625</v>
      </c>
      <c r="V29" s="166">
        <f>U29/1000</f>
        <v>23.421624999999999</v>
      </c>
      <c r="W29" s="166"/>
      <c r="X29" s="167"/>
      <c r="Y29" s="167"/>
      <c r="Z29" s="167"/>
      <c r="AA29" s="127"/>
    </row>
    <row r="30" spans="1:28" x14ac:dyDescent="0.25">
      <c r="A30" s="172"/>
      <c r="B30" s="173"/>
      <c r="C30" s="174"/>
      <c r="D30" s="174"/>
      <c r="E30" s="174"/>
      <c r="F30" s="174"/>
      <c r="G30" s="174"/>
      <c r="H30" s="175"/>
      <c r="I30" s="111"/>
      <c r="J30" s="111"/>
      <c r="K30" s="111"/>
      <c r="L30" s="176"/>
      <c r="M30" s="111"/>
      <c r="N30" s="111"/>
      <c r="O30" s="111"/>
      <c r="P30" s="111"/>
      <c r="Q30" s="111"/>
      <c r="R30" s="111"/>
      <c r="S30" s="111"/>
      <c r="T30" s="111"/>
      <c r="U30" s="177"/>
      <c r="V30" s="177"/>
      <c r="W30" s="177"/>
      <c r="X30" s="167"/>
      <c r="Y30" s="167"/>
      <c r="Z30" s="167"/>
      <c r="AA30" s="127"/>
    </row>
    <row r="31" spans="1:28" x14ac:dyDescent="0.25">
      <c r="A31" s="172"/>
      <c r="B31" s="173"/>
      <c r="C31" s="174"/>
      <c r="D31" s="174"/>
      <c r="E31" s="174"/>
      <c r="F31" s="174"/>
      <c r="G31" s="174"/>
      <c r="H31" s="175"/>
      <c r="I31" s="111"/>
      <c r="J31" s="111"/>
      <c r="K31" s="111"/>
      <c r="L31" s="176"/>
      <c r="M31" s="111"/>
      <c r="N31" s="111"/>
      <c r="O31" s="111"/>
      <c r="P31" s="111"/>
      <c r="Q31" s="111"/>
      <c r="R31" s="111"/>
      <c r="S31" s="111"/>
      <c r="T31" s="111"/>
      <c r="U31" s="177"/>
      <c r="V31" s="177"/>
      <c r="W31" s="177"/>
      <c r="X31" s="167"/>
      <c r="Y31" s="167"/>
      <c r="Z31" s="167">
        <f>17944.25+18100+19250</f>
        <v>55294.25</v>
      </c>
      <c r="AA31" s="127"/>
    </row>
    <row r="32" spans="1:28" x14ac:dyDescent="0.25">
      <c r="B32" s="178"/>
      <c r="M32" s="108"/>
      <c r="N32" s="108"/>
    </row>
    <row r="33" spans="2:23" x14ac:dyDescent="0.25">
      <c r="B33" s="117" t="s">
        <v>766</v>
      </c>
      <c r="C33" s="106" t="s">
        <v>767</v>
      </c>
    </row>
    <row r="34" spans="2:23" x14ac:dyDescent="0.25">
      <c r="B34" s="162" t="s">
        <v>768</v>
      </c>
      <c r="C34" s="106" t="s">
        <v>769</v>
      </c>
    </row>
    <row r="35" spans="2:23" x14ac:dyDescent="0.25">
      <c r="B35" s="131" t="s">
        <v>770</v>
      </c>
      <c r="C35" s="106" t="s">
        <v>771</v>
      </c>
    </row>
    <row r="36" spans="2:23" x14ac:dyDescent="0.25">
      <c r="B36" s="179">
        <v>18</v>
      </c>
      <c r="C36" s="106" t="s">
        <v>772</v>
      </c>
    </row>
    <row r="37" spans="2:23" ht="30.75" customHeight="1" x14ac:dyDescent="0.25">
      <c r="B37" s="591" t="s">
        <v>773</v>
      </c>
      <c r="C37" s="591"/>
      <c r="D37" s="591"/>
      <c r="E37" s="591"/>
      <c r="F37" s="591"/>
      <c r="G37" s="591"/>
      <c r="H37" s="591"/>
      <c r="I37" s="591"/>
      <c r="J37" s="591"/>
      <c r="K37" s="591"/>
      <c r="L37" s="591"/>
      <c r="M37" s="591"/>
      <c r="N37" s="591"/>
      <c r="O37" s="591"/>
      <c r="P37" s="591"/>
      <c r="Q37" s="591"/>
      <c r="R37" s="591"/>
      <c r="S37" s="591"/>
      <c r="T37" s="591"/>
      <c r="U37" s="591"/>
      <c r="V37" s="180"/>
      <c r="W37" s="180"/>
    </row>
    <row r="38" spans="2:23" x14ac:dyDescent="0.25">
      <c r="B38" s="592" t="s">
        <v>774</v>
      </c>
      <c r="C38" s="592"/>
      <c r="D38" s="592"/>
      <c r="E38" s="592"/>
      <c r="F38" s="592"/>
      <c r="G38" s="592"/>
      <c r="H38" s="592"/>
      <c r="I38" s="592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</row>
    <row r="39" spans="2:23" x14ac:dyDescent="0.25">
      <c r="B39" s="592" t="s">
        <v>775</v>
      </c>
      <c r="C39" s="592"/>
      <c r="D39" s="592"/>
      <c r="E39" s="592"/>
      <c r="F39" s="592"/>
      <c r="G39" s="592"/>
      <c r="H39" s="592"/>
      <c r="I39" s="592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</row>
    <row r="40" spans="2:23" x14ac:dyDescent="0.25">
      <c r="B40" s="592" t="s">
        <v>776</v>
      </c>
      <c r="C40" s="592"/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</row>
    <row r="41" spans="2:23" ht="49.5" customHeight="1" x14ac:dyDescent="0.25">
      <c r="B41" s="595" t="s">
        <v>777</v>
      </c>
      <c r="C41" s="595"/>
      <c r="D41" s="595"/>
      <c r="E41" s="595"/>
      <c r="F41" s="595"/>
      <c r="G41" s="595"/>
      <c r="H41" s="595"/>
      <c r="I41" s="595"/>
      <c r="J41" s="595"/>
      <c r="K41" s="595"/>
      <c r="L41" s="595"/>
      <c r="M41" s="595"/>
      <c r="N41" s="595"/>
      <c r="O41" s="595"/>
      <c r="P41" s="595"/>
      <c r="Q41" s="595"/>
      <c r="R41" s="595"/>
      <c r="S41" s="595"/>
      <c r="T41" s="595"/>
      <c r="U41" s="595"/>
      <c r="V41" s="181"/>
      <c r="W41" s="181"/>
    </row>
    <row r="42" spans="2:23" ht="31.5" customHeight="1" x14ac:dyDescent="0.25">
      <c r="B42" s="593" t="s">
        <v>778</v>
      </c>
      <c r="C42" s="593"/>
      <c r="D42" s="593"/>
      <c r="E42" s="593"/>
      <c r="F42" s="593"/>
      <c r="G42" s="593"/>
      <c r="H42" s="593"/>
      <c r="I42" s="593"/>
      <c r="J42" s="593"/>
      <c r="K42" s="593"/>
      <c r="L42" s="593"/>
      <c r="M42" s="593"/>
      <c r="N42" s="593"/>
      <c r="O42" s="593"/>
      <c r="P42" s="593"/>
      <c r="Q42" s="593"/>
      <c r="R42" s="593"/>
      <c r="S42" s="593"/>
      <c r="T42" s="593"/>
      <c r="U42" s="593"/>
      <c r="V42" s="182"/>
      <c r="W42" s="182"/>
    </row>
    <row r="43" spans="2:23" ht="54.75" customHeight="1" x14ac:dyDescent="0.25">
      <c r="B43" s="591" t="s">
        <v>779</v>
      </c>
      <c r="C43" s="591"/>
      <c r="D43" s="591"/>
      <c r="E43" s="591"/>
      <c r="F43" s="591"/>
      <c r="G43" s="591"/>
      <c r="H43" s="591"/>
      <c r="I43" s="591"/>
      <c r="J43" s="591"/>
      <c r="K43" s="591"/>
      <c r="L43" s="591"/>
      <c r="M43" s="591"/>
      <c r="N43" s="591"/>
      <c r="O43" s="591"/>
      <c r="P43" s="591"/>
      <c r="Q43" s="591"/>
      <c r="R43" s="591"/>
      <c r="S43" s="591"/>
      <c r="T43" s="591"/>
      <c r="U43" s="591"/>
      <c r="V43" s="180"/>
      <c r="W43" s="180"/>
    </row>
    <row r="44" spans="2:23" ht="45.75" customHeight="1" x14ac:dyDescent="0.25">
      <c r="B44" s="591" t="s">
        <v>780</v>
      </c>
      <c r="C44" s="591"/>
      <c r="D44" s="591"/>
      <c r="E44" s="591"/>
      <c r="F44" s="591"/>
      <c r="G44" s="591"/>
      <c r="H44" s="591"/>
      <c r="I44" s="591"/>
      <c r="J44" s="591"/>
      <c r="K44" s="591"/>
      <c r="L44" s="591"/>
      <c r="M44" s="591"/>
      <c r="N44" s="591"/>
      <c r="O44" s="591"/>
      <c r="P44" s="591"/>
      <c r="Q44" s="591"/>
      <c r="R44" s="591"/>
      <c r="S44" s="591"/>
      <c r="T44" s="591"/>
      <c r="U44" s="591"/>
      <c r="V44" s="180"/>
      <c r="W44" s="180"/>
    </row>
    <row r="45" spans="2:23" ht="24" customHeight="1" x14ac:dyDescent="0.25">
      <c r="B45" s="598" t="s">
        <v>781</v>
      </c>
      <c r="C45" s="598"/>
      <c r="D45" s="598"/>
      <c r="E45" s="598"/>
      <c r="F45" s="598"/>
      <c r="G45" s="598"/>
      <c r="H45" s="598"/>
      <c r="I45" s="598"/>
      <c r="J45" s="598"/>
      <c r="K45" s="598"/>
      <c r="L45" s="598"/>
      <c r="M45" s="598"/>
      <c r="N45" s="598"/>
      <c r="O45" s="598"/>
      <c r="P45" s="598"/>
      <c r="Q45" s="598"/>
      <c r="R45" s="598"/>
      <c r="S45" s="598"/>
      <c r="T45" s="598"/>
      <c r="U45" s="598"/>
      <c r="V45" s="183"/>
      <c r="W45" s="183"/>
    </row>
    <row r="46" spans="2:23" x14ac:dyDescent="0.25">
      <c r="B46" s="594" t="s">
        <v>782</v>
      </c>
      <c r="C46" s="594"/>
      <c r="D46" s="594"/>
      <c r="E46" s="594"/>
      <c r="F46" s="594"/>
      <c r="G46" s="594"/>
      <c r="H46" s="594"/>
      <c r="I46" s="594"/>
      <c r="J46" s="594"/>
      <c r="K46" s="594"/>
      <c r="L46" s="594"/>
      <c r="M46" s="594"/>
      <c r="N46" s="594"/>
      <c r="O46" s="594"/>
      <c r="P46" s="594"/>
      <c r="Q46" s="594"/>
      <c r="R46" s="594"/>
      <c r="S46" s="594"/>
      <c r="T46" s="594"/>
      <c r="U46" s="594"/>
      <c r="V46" s="184"/>
      <c r="W46" s="184"/>
    </row>
    <row r="47" spans="2:23" ht="19.5" customHeight="1" x14ac:dyDescent="0.25">
      <c r="B47" s="599" t="s">
        <v>783</v>
      </c>
      <c r="C47" s="599"/>
      <c r="D47" s="599"/>
      <c r="E47" s="599"/>
      <c r="F47" s="599"/>
      <c r="G47" s="599"/>
      <c r="H47" s="599"/>
      <c r="I47" s="599"/>
      <c r="J47" s="599"/>
      <c r="K47" s="599"/>
      <c r="L47" s="599"/>
      <c r="M47" s="599"/>
      <c r="N47" s="599"/>
      <c r="O47" s="599"/>
      <c r="P47" s="599"/>
      <c r="Q47" s="599"/>
      <c r="R47" s="599"/>
      <c r="S47" s="599"/>
      <c r="T47" s="599"/>
      <c r="U47" s="599"/>
      <c r="V47" s="185"/>
      <c r="W47" s="185"/>
    </row>
    <row r="48" spans="2:23" ht="16.5" customHeight="1" x14ac:dyDescent="0.25">
      <c r="B48" s="591" t="s">
        <v>784</v>
      </c>
      <c r="C48" s="591"/>
      <c r="D48" s="591"/>
      <c r="E48" s="591"/>
      <c r="F48" s="591"/>
      <c r="G48" s="591"/>
      <c r="H48" s="591"/>
      <c r="I48" s="591"/>
      <c r="J48" s="591"/>
      <c r="K48" s="591"/>
      <c r="L48" s="591"/>
      <c r="M48" s="591"/>
      <c r="N48" s="591"/>
      <c r="O48" s="591"/>
      <c r="P48" s="591"/>
      <c r="Q48" s="591"/>
      <c r="R48" s="591"/>
      <c r="S48" s="591"/>
      <c r="T48" s="591"/>
      <c r="U48" s="591"/>
      <c r="V48" s="180"/>
      <c r="W48" s="180"/>
    </row>
    <row r="49" spans="2:23" ht="34.5" customHeight="1" x14ac:dyDescent="0.25">
      <c r="B49" s="591" t="s">
        <v>785</v>
      </c>
      <c r="C49" s="591"/>
      <c r="D49" s="591"/>
      <c r="E49" s="591"/>
      <c r="F49" s="591"/>
      <c r="G49" s="591"/>
      <c r="H49" s="591"/>
      <c r="I49" s="591"/>
      <c r="J49" s="591"/>
      <c r="K49" s="591"/>
      <c r="L49" s="591"/>
      <c r="M49" s="591"/>
      <c r="N49" s="591"/>
      <c r="O49" s="591"/>
      <c r="P49" s="591"/>
      <c r="Q49" s="591"/>
      <c r="R49" s="591"/>
      <c r="S49" s="591"/>
      <c r="T49" s="591"/>
      <c r="U49" s="591"/>
      <c r="V49" s="180"/>
      <c r="W49" s="180"/>
    </row>
    <row r="50" spans="2:23" ht="34.5" customHeight="1" x14ac:dyDescent="0.25">
      <c r="B50" s="591" t="s">
        <v>786</v>
      </c>
      <c r="C50" s="591"/>
      <c r="D50" s="591"/>
      <c r="E50" s="591"/>
      <c r="F50" s="591"/>
      <c r="G50" s="591"/>
      <c r="H50" s="591"/>
      <c r="I50" s="591"/>
      <c r="J50" s="591"/>
      <c r="K50" s="591"/>
      <c r="L50" s="591"/>
      <c r="M50" s="591"/>
      <c r="N50" s="591"/>
      <c r="O50" s="591"/>
      <c r="P50" s="591"/>
      <c r="Q50" s="591"/>
      <c r="R50" s="591"/>
      <c r="S50" s="591"/>
      <c r="T50" s="591"/>
      <c r="U50" s="591"/>
      <c r="V50" s="180"/>
      <c r="W50" s="180"/>
    </row>
    <row r="51" spans="2:23" ht="19.5" customHeight="1" x14ac:dyDescent="0.25">
      <c r="B51" s="591" t="s">
        <v>787</v>
      </c>
      <c r="C51" s="591"/>
      <c r="D51" s="591"/>
      <c r="E51" s="591"/>
      <c r="F51" s="591"/>
      <c r="G51" s="591"/>
      <c r="H51" s="591"/>
      <c r="I51" s="591"/>
      <c r="J51" s="591"/>
      <c r="K51" s="591"/>
      <c r="L51" s="591"/>
      <c r="M51" s="591"/>
      <c r="N51" s="591"/>
      <c r="O51" s="591"/>
      <c r="P51" s="591"/>
      <c r="Q51" s="591"/>
      <c r="R51" s="591"/>
      <c r="S51" s="591"/>
      <c r="T51" s="591"/>
      <c r="U51" s="591"/>
      <c r="V51" s="180"/>
      <c r="W51" s="180"/>
    </row>
    <row r="52" spans="2:23" ht="22.5" customHeight="1" x14ac:dyDescent="0.25">
      <c r="B52" s="591" t="s">
        <v>788</v>
      </c>
      <c r="C52" s="591"/>
      <c r="D52" s="591"/>
      <c r="E52" s="591"/>
      <c r="F52" s="591"/>
      <c r="G52" s="591"/>
      <c r="H52" s="591"/>
      <c r="I52" s="591"/>
      <c r="J52" s="591"/>
      <c r="K52" s="591"/>
      <c r="L52" s="591"/>
      <c r="M52" s="591"/>
      <c r="N52" s="591"/>
      <c r="O52" s="591"/>
      <c r="P52" s="591"/>
      <c r="Q52" s="591"/>
      <c r="R52" s="591"/>
      <c r="S52" s="591"/>
      <c r="T52" s="591"/>
      <c r="U52" s="591"/>
      <c r="V52" s="180"/>
      <c r="W52" s="180"/>
    </row>
    <row r="53" spans="2:23" ht="22.5" customHeight="1" x14ac:dyDescent="0.25">
      <c r="B53" s="591" t="s">
        <v>789</v>
      </c>
      <c r="C53" s="591"/>
      <c r="D53" s="591"/>
      <c r="E53" s="591"/>
      <c r="F53" s="591"/>
      <c r="G53" s="591"/>
      <c r="H53" s="591"/>
      <c r="I53" s="591"/>
      <c r="J53" s="591"/>
      <c r="K53" s="591"/>
      <c r="L53" s="591"/>
      <c r="M53" s="591"/>
      <c r="N53" s="591"/>
      <c r="O53" s="591"/>
      <c r="P53" s="591"/>
      <c r="Q53" s="591"/>
      <c r="R53" s="591"/>
      <c r="S53" s="591"/>
      <c r="T53" s="591"/>
      <c r="U53" s="591"/>
      <c r="V53" s="180"/>
      <c r="W53" s="180"/>
    </row>
    <row r="54" spans="2:23" x14ac:dyDescent="0.25">
      <c r="B54" s="593" t="s">
        <v>790</v>
      </c>
      <c r="C54" s="593"/>
      <c r="D54" s="593"/>
      <c r="E54" s="593"/>
      <c r="F54" s="593"/>
      <c r="G54" s="593"/>
      <c r="H54" s="593"/>
      <c r="I54" s="593"/>
      <c r="J54" s="593"/>
      <c r="K54" s="593"/>
      <c r="L54" s="593"/>
      <c r="M54" s="593"/>
      <c r="N54" s="593"/>
      <c r="O54" s="593"/>
      <c r="P54" s="593"/>
      <c r="Q54" s="593"/>
      <c r="R54" s="593"/>
      <c r="S54" s="593"/>
      <c r="T54" s="593"/>
      <c r="U54" s="593"/>
      <c r="V54" s="182"/>
      <c r="W54" s="182"/>
    </row>
    <row r="55" spans="2:23" x14ac:dyDescent="0.25">
      <c r="B55" s="597" t="s">
        <v>791</v>
      </c>
      <c r="C55" s="597"/>
      <c r="D55" s="597"/>
      <c r="E55" s="597"/>
      <c r="F55" s="597"/>
      <c r="G55" s="597"/>
      <c r="H55" s="597"/>
      <c r="I55" s="597"/>
      <c r="J55" s="597"/>
      <c r="K55" s="597"/>
      <c r="L55" s="597"/>
      <c r="M55" s="597"/>
      <c r="N55" s="597"/>
      <c r="O55" s="597"/>
      <c r="P55" s="597"/>
      <c r="Q55" s="597"/>
      <c r="R55" s="597"/>
      <c r="S55" s="597"/>
      <c r="T55" s="597"/>
      <c r="U55" s="597"/>
      <c r="V55" s="186"/>
      <c r="W55" s="186"/>
    </row>
    <row r="56" spans="2:23" ht="18" customHeight="1" x14ac:dyDescent="0.25">
      <c r="B56" s="596" t="s">
        <v>792</v>
      </c>
      <c r="C56" s="596"/>
      <c r="D56" s="596"/>
      <c r="E56" s="596"/>
      <c r="F56" s="596"/>
      <c r="G56" s="596"/>
      <c r="H56" s="596"/>
      <c r="I56" s="596"/>
      <c r="J56" s="596"/>
      <c r="K56" s="596"/>
      <c r="L56" s="596"/>
      <c r="M56" s="596"/>
      <c r="N56" s="596"/>
      <c r="O56" s="596"/>
      <c r="P56" s="596"/>
      <c r="Q56" s="596"/>
      <c r="R56" s="596"/>
      <c r="S56" s="596"/>
      <c r="T56" s="596"/>
      <c r="U56" s="596"/>
      <c r="V56" s="187"/>
      <c r="W56" s="187"/>
    </row>
    <row r="57" spans="2:23" ht="17.25" customHeight="1" x14ac:dyDescent="0.25">
      <c r="B57" s="595" t="s">
        <v>793</v>
      </c>
      <c r="C57" s="595"/>
      <c r="D57" s="595"/>
      <c r="E57" s="595"/>
      <c r="F57" s="595"/>
      <c r="G57" s="595"/>
      <c r="H57" s="595"/>
      <c r="I57" s="595"/>
      <c r="J57" s="595"/>
      <c r="K57" s="595"/>
      <c r="L57" s="595"/>
      <c r="M57" s="595"/>
      <c r="N57" s="595"/>
      <c r="O57" s="595"/>
      <c r="P57" s="595"/>
      <c r="Q57" s="595"/>
      <c r="R57" s="595"/>
      <c r="S57" s="595"/>
      <c r="T57" s="595"/>
      <c r="U57" s="595"/>
      <c r="V57" s="181"/>
      <c r="W57" s="181"/>
    </row>
    <row r="58" spans="2:23" ht="33" customHeight="1" x14ac:dyDescent="0.25">
      <c r="B58" s="591" t="s">
        <v>794</v>
      </c>
      <c r="C58" s="591"/>
      <c r="D58" s="591"/>
      <c r="E58" s="591"/>
      <c r="F58" s="591"/>
      <c r="G58" s="591"/>
      <c r="H58" s="591"/>
      <c r="I58" s="591"/>
      <c r="J58" s="591"/>
      <c r="K58" s="591"/>
      <c r="L58" s="591"/>
      <c r="M58" s="591"/>
      <c r="N58" s="591"/>
      <c r="O58" s="591"/>
      <c r="P58" s="591"/>
      <c r="Q58" s="591"/>
      <c r="R58" s="591"/>
      <c r="S58" s="591"/>
      <c r="T58" s="591"/>
      <c r="U58" s="591"/>
      <c r="V58" s="181"/>
      <c r="W58" s="181"/>
    </row>
    <row r="59" spans="2:23" x14ac:dyDescent="0.25">
      <c r="B59" s="595" t="s">
        <v>795</v>
      </c>
      <c r="C59" s="595"/>
      <c r="D59" s="595"/>
      <c r="E59" s="595"/>
      <c r="F59" s="595"/>
      <c r="G59" s="595"/>
      <c r="H59" s="595"/>
      <c r="I59" s="595"/>
      <c r="J59" s="595"/>
      <c r="K59" s="595"/>
      <c r="L59" s="595"/>
      <c r="M59" s="595"/>
      <c r="N59" s="595"/>
      <c r="O59" s="595"/>
      <c r="P59" s="595"/>
      <c r="Q59" s="595"/>
      <c r="R59" s="595"/>
      <c r="S59" s="595"/>
      <c r="T59" s="595"/>
      <c r="U59" s="595"/>
      <c r="V59" s="181"/>
      <c r="W59" s="181"/>
    </row>
    <row r="60" spans="2:23" ht="18" customHeight="1" x14ac:dyDescent="0.25">
      <c r="B60" s="595" t="s">
        <v>796</v>
      </c>
      <c r="C60" s="595"/>
      <c r="D60" s="595"/>
      <c r="E60" s="595"/>
      <c r="F60" s="595"/>
      <c r="G60" s="595"/>
      <c r="H60" s="595"/>
      <c r="I60" s="595"/>
      <c r="J60" s="595"/>
      <c r="K60" s="595"/>
      <c r="L60" s="595"/>
      <c r="M60" s="595"/>
      <c r="N60" s="595"/>
      <c r="O60" s="595"/>
      <c r="P60" s="595"/>
      <c r="Q60" s="595"/>
      <c r="R60" s="595"/>
      <c r="S60" s="595"/>
      <c r="T60" s="595"/>
      <c r="U60" s="595"/>
      <c r="V60" s="181"/>
      <c r="W60" s="181"/>
    </row>
    <row r="61" spans="2:23" x14ac:dyDescent="0.25">
      <c r="B61" s="594" t="s">
        <v>797</v>
      </c>
      <c r="C61" s="594"/>
      <c r="D61" s="594"/>
      <c r="E61" s="594"/>
      <c r="F61" s="594"/>
      <c r="G61" s="594"/>
      <c r="H61" s="594"/>
      <c r="I61" s="594"/>
      <c r="J61" s="594"/>
      <c r="K61" s="594"/>
      <c r="L61" s="594"/>
      <c r="M61" s="594"/>
      <c r="N61" s="594"/>
      <c r="O61" s="594"/>
      <c r="P61" s="594"/>
      <c r="Q61" s="594"/>
      <c r="R61" s="594"/>
      <c r="S61" s="594"/>
      <c r="T61" s="594"/>
      <c r="U61" s="594"/>
      <c r="V61" s="184"/>
      <c r="W61" s="184"/>
    </row>
    <row r="62" spans="2:23" x14ac:dyDescent="0.25">
      <c r="B62" s="593" t="s">
        <v>798</v>
      </c>
      <c r="C62" s="593"/>
      <c r="D62" s="593"/>
      <c r="E62" s="593"/>
      <c r="F62" s="593"/>
      <c r="G62" s="593"/>
      <c r="H62" s="593"/>
      <c r="I62" s="593"/>
      <c r="J62" s="593"/>
      <c r="K62" s="593"/>
      <c r="L62" s="593"/>
      <c r="M62" s="593"/>
      <c r="N62" s="593"/>
      <c r="O62" s="593"/>
      <c r="P62" s="593"/>
      <c r="Q62" s="593"/>
      <c r="R62" s="593"/>
      <c r="S62" s="593"/>
      <c r="T62" s="593"/>
      <c r="U62" s="593"/>
      <c r="V62" s="182"/>
      <c r="W62" s="182"/>
    </row>
    <row r="63" spans="2:23" ht="15" customHeight="1" x14ac:dyDescent="0.25">
      <c r="B63" s="593" t="s">
        <v>799</v>
      </c>
      <c r="C63" s="593"/>
      <c r="D63" s="593"/>
      <c r="E63" s="593"/>
      <c r="F63" s="593"/>
      <c r="G63" s="593"/>
      <c r="H63" s="593"/>
      <c r="I63" s="593"/>
      <c r="J63" s="593"/>
      <c r="K63" s="593"/>
      <c r="L63" s="593"/>
      <c r="M63" s="593"/>
      <c r="N63" s="593"/>
      <c r="O63" s="593"/>
      <c r="P63" s="593"/>
      <c r="Q63" s="593"/>
      <c r="R63" s="593"/>
      <c r="S63" s="593"/>
      <c r="T63" s="593"/>
      <c r="U63" s="593"/>
      <c r="V63" s="182"/>
      <c r="W63" s="182"/>
    </row>
    <row r="64" spans="2:23" ht="15" customHeight="1" x14ac:dyDescent="0.25">
      <c r="B64" s="593" t="s">
        <v>800</v>
      </c>
      <c r="C64" s="593"/>
      <c r="D64" s="593"/>
      <c r="E64" s="593"/>
      <c r="F64" s="593"/>
      <c r="G64" s="593"/>
      <c r="H64" s="593"/>
      <c r="I64" s="593"/>
      <c r="J64" s="593"/>
      <c r="K64" s="593"/>
      <c r="L64" s="593"/>
      <c r="M64" s="593"/>
      <c r="N64" s="593"/>
      <c r="O64" s="593"/>
      <c r="P64" s="593"/>
      <c r="Q64" s="593"/>
      <c r="R64" s="593"/>
      <c r="S64" s="593"/>
      <c r="T64" s="593"/>
      <c r="U64" s="593"/>
      <c r="V64" s="182"/>
      <c r="W64" s="182"/>
    </row>
    <row r="65" spans="2:23" ht="28.5" customHeight="1" x14ac:dyDescent="0.25">
      <c r="B65" s="593" t="s">
        <v>801</v>
      </c>
      <c r="C65" s="593"/>
      <c r="D65" s="593"/>
      <c r="E65" s="593"/>
      <c r="F65" s="593"/>
      <c r="G65" s="593"/>
      <c r="H65" s="593"/>
      <c r="I65" s="593"/>
      <c r="J65" s="593"/>
      <c r="K65" s="593"/>
      <c r="L65" s="593"/>
      <c r="M65" s="593"/>
      <c r="N65" s="593"/>
      <c r="O65" s="593"/>
      <c r="P65" s="593"/>
      <c r="Q65" s="593"/>
      <c r="R65" s="593"/>
      <c r="S65" s="593"/>
      <c r="T65" s="593"/>
      <c r="U65" s="593"/>
      <c r="V65" s="182"/>
      <c r="W65" s="182"/>
    </row>
  </sheetData>
  <mergeCells count="30">
    <mergeCell ref="B53:U53"/>
    <mergeCell ref="B40:U40"/>
    <mergeCell ref="B41:U41"/>
    <mergeCell ref="B42:U42"/>
    <mergeCell ref="B43:U43"/>
    <mergeCell ref="B44:U44"/>
    <mergeCell ref="B45:U45"/>
    <mergeCell ref="B46:U46"/>
    <mergeCell ref="B47:U47"/>
    <mergeCell ref="B48:U48"/>
    <mergeCell ref="B49:U49"/>
    <mergeCell ref="B50:U50"/>
    <mergeCell ref="B51:U51"/>
    <mergeCell ref="B52:U52"/>
    <mergeCell ref="T1:U1"/>
    <mergeCell ref="B37:U37"/>
    <mergeCell ref="B38:U38"/>
    <mergeCell ref="B39:U39"/>
    <mergeCell ref="B65:U65"/>
    <mergeCell ref="B64:U64"/>
    <mergeCell ref="B63:U63"/>
    <mergeCell ref="B62:U62"/>
    <mergeCell ref="B61:U61"/>
    <mergeCell ref="B60:U60"/>
    <mergeCell ref="B59:U59"/>
    <mergeCell ref="B58:U58"/>
    <mergeCell ref="B57:U57"/>
    <mergeCell ref="B56:U56"/>
    <mergeCell ref="B55:U55"/>
    <mergeCell ref="B54:U54"/>
  </mergeCells>
  <pageMargins left="0.118110232055187" right="0.118110232055187" top="0.19685038924217199" bottom="0.15748031437397" header="0.31496062874794001" footer="0.31496062874794001"/>
  <pageSetup paperSize="9" scale="58" orientation="landscape"/>
  <rowBreaks count="1" manualBreakCount="1">
    <brk id="36" max="16383" man="1"/>
  </rowBreaks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"/>
  <sheetViews>
    <sheetView workbookViewId="0"/>
  </sheetViews>
  <sheetFormatPr defaultColWidth="9" defaultRowHeight="15" x14ac:dyDescent="0.25"/>
  <cols>
    <col min="1" max="1" width="7.140625" customWidth="1"/>
    <col min="2" max="2" width="26.7109375" customWidth="1"/>
    <col min="3" max="3" width="21.85546875" customWidth="1"/>
    <col min="4" max="4" width="29.85546875" customWidth="1"/>
  </cols>
  <sheetData>
    <row r="3" spans="1:9" x14ac:dyDescent="0.25">
      <c r="I3" t="s">
        <v>531</v>
      </c>
    </row>
    <row r="4" spans="1:9" s="188" customFormat="1" ht="67.349999999999994" customHeight="1" x14ac:dyDescent="0.25">
      <c r="A4" s="92" t="s">
        <v>802</v>
      </c>
      <c r="B4" s="92" t="s">
        <v>634</v>
      </c>
      <c r="C4" s="600" t="s">
        <v>803</v>
      </c>
      <c r="D4" s="601"/>
      <c r="E4" s="189" t="s">
        <v>804</v>
      </c>
      <c r="F4" s="189" t="s">
        <v>805</v>
      </c>
      <c r="G4" s="189" t="s">
        <v>806</v>
      </c>
      <c r="H4" s="189" t="s">
        <v>807</v>
      </c>
      <c r="I4" s="189" t="s">
        <v>808</v>
      </c>
    </row>
    <row r="5" spans="1:9" ht="47.1" customHeight="1" x14ac:dyDescent="0.25">
      <c r="A5" s="190" t="s">
        <v>809</v>
      </c>
      <c r="B5" s="190" t="s">
        <v>699</v>
      </c>
      <c r="C5" s="191" t="s">
        <v>810</v>
      </c>
      <c r="D5" s="192" t="s">
        <v>811</v>
      </c>
      <c r="E5" s="193">
        <f>F5+G5+H5+I5</f>
        <v>6426.6</v>
      </c>
      <c r="F5" s="193">
        <v>1606.65</v>
      </c>
      <c r="G5" s="193">
        <v>1606.65</v>
      </c>
      <c r="H5" s="193">
        <v>1606.65</v>
      </c>
      <c r="I5" s="193">
        <v>1606.65</v>
      </c>
    </row>
    <row r="6" spans="1:9" ht="56.65" customHeight="1" x14ac:dyDescent="0.25">
      <c r="A6" s="190" t="s">
        <v>812</v>
      </c>
      <c r="B6" s="190" t="s">
        <v>813</v>
      </c>
      <c r="C6" s="191" t="s">
        <v>814</v>
      </c>
      <c r="D6" s="192" t="s">
        <v>815</v>
      </c>
      <c r="E6" s="193">
        <f>F6+G6+H6+I6</f>
        <v>3436.6</v>
      </c>
      <c r="F6" s="193">
        <v>859.15</v>
      </c>
      <c r="G6" s="193">
        <v>859.15</v>
      </c>
      <c r="H6" s="193">
        <v>859.15</v>
      </c>
      <c r="I6" s="193">
        <v>859.15</v>
      </c>
    </row>
    <row r="7" spans="1:9" x14ac:dyDescent="0.25">
      <c r="A7" s="190" t="s">
        <v>816</v>
      </c>
      <c r="B7" s="190" t="s">
        <v>817</v>
      </c>
      <c r="C7" s="191"/>
      <c r="D7" s="194"/>
      <c r="E7" s="194"/>
      <c r="F7" s="194"/>
      <c r="G7" s="194"/>
      <c r="H7" s="194"/>
      <c r="I7" s="194"/>
    </row>
    <row r="8" spans="1:9" x14ac:dyDescent="0.25">
      <c r="A8" s="190" t="s">
        <v>818</v>
      </c>
      <c r="B8" s="190" t="s">
        <v>819</v>
      </c>
      <c r="C8" s="191"/>
      <c r="D8" s="194"/>
      <c r="E8" s="194"/>
      <c r="F8" s="194"/>
      <c r="G8" s="194"/>
      <c r="H8" s="194"/>
      <c r="I8" s="194"/>
    </row>
    <row r="9" spans="1:9" x14ac:dyDescent="0.25">
      <c r="C9" s="195"/>
      <c r="D9" s="196" t="s">
        <v>820</v>
      </c>
      <c r="E9" s="197">
        <f>SUM(E5:E8)</f>
        <v>9863.2000000000007</v>
      </c>
      <c r="F9" s="197">
        <f>SUM(F5:F8)</f>
        <v>2465.8000000000002</v>
      </c>
      <c r="G9" s="197">
        <f>SUM(G5:G8)</f>
        <v>2465.8000000000002</v>
      </c>
      <c r="H9" s="197">
        <f>SUM(H5:H8)</f>
        <v>2465.8000000000002</v>
      </c>
      <c r="I9" s="197">
        <f>SUM(I5:I8)</f>
        <v>2465.8000000000002</v>
      </c>
    </row>
  </sheetData>
  <mergeCells count="1">
    <mergeCell ref="C4:D4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U198"/>
  <sheetViews>
    <sheetView topLeftCell="B1" workbookViewId="0">
      <pane xSplit="5" ySplit="6" topLeftCell="G7" activePane="bottomRight" state="frozen"/>
      <selection pane="topRight" activeCell="B1" sqref="B1"/>
      <selection pane="bottomLeft" activeCell="B1" sqref="B1"/>
      <selection pane="bottomRight" activeCell="G7" sqref="G7"/>
    </sheetView>
  </sheetViews>
  <sheetFormatPr defaultColWidth="9.140625" defaultRowHeight="12.75" x14ac:dyDescent="0.2"/>
  <cols>
    <col min="1" max="1" width="24.140625" style="198" customWidth="1"/>
    <col min="2" max="2" width="10.42578125" style="198" customWidth="1"/>
    <col min="3" max="3" width="37" style="199" customWidth="1"/>
    <col min="4" max="4" width="30.140625" style="199" customWidth="1"/>
    <col min="5" max="6" width="6.5703125" style="198" customWidth="1"/>
    <col min="7" max="7" width="4" style="198" customWidth="1"/>
    <col min="8" max="8" width="8.140625" style="198" customWidth="1"/>
    <col min="9" max="9" width="10.7109375" style="198" customWidth="1"/>
    <col min="10" max="10" width="13.140625" style="198" customWidth="1"/>
    <col min="11" max="11" width="4.85546875" style="198" customWidth="1"/>
    <col min="12" max="12" width="9.140625" style="198" customWidth="1"/>
    <col min="13" max="13" width="4.7109375" style="198" customWidth="1"/>
    <col min="14" max="14" width="9.140625" style="198" customWidth="1"/>
    <col min="15" max="15" width="4.42578125" style="198" customWidth="1"/>
    <col min="16" max="16" width="9.7109375" style="198" customWidth="1"/>
    <col min="17" max="17" width="4.42578125" style="198" customWidth="1"/>
    <col min="18" max="18" width="11.140625" style="198" customWidth="1"/>
    <col min="19" max="20" width="12.85546875" style="198" customWidth="1"/>
    <col min="21" max="21" width="13.42578125" style="198" customWidth="1"/>
    <col min="22" max="24" width="12.7109375" style="198" customWidth="1"/>
    <col min="25" max="25" width="23.140625" style="198" customWidth="1"/>
    <col min="26" max="27" width="7.5703125" style="200" customWidth="1"/>
    <col min="28" max="28" width="7.5703125" style="201" customWidth="1"/>
    <col min="29" max="29" width="9.140625" style="198" bestFit="1" customWidth="1"/>
    <col min="30" max="30" width="10" style="198" customWidth="1"/>
    <col min="31" max="41" width="9.140625" style="198" bestFit="1" customWidth="1"/>
    <col min="42" max="42" width="10" style="198" customWidth="1"/>
    <col min="43" max="43" width="10.5703125" style="198" customWidth="1"/>
    <col min="44" max="44" width="9.140625" style="198" bestFit="1" customWidth="1"/>
    <col min="45" max="45" width="10.5703125" style="198" customWidth="1"/>
    <col min="46" max="49" width="9.140625" style="198" bestFit="1" customWidth="1"/>
    <col min="50" max="50" width="10.140625" style="198" customWidth="1"/>
    <col min="51" max="54" width="9.140625" style="198" bestFit="1" customWidth="1"/>
    <col min="55" max="55" width="10.42578125" style="198" customWidth="1"/>
    <col min="56" max="56" width="10" style="198" customWidth="1"/>
    <col min="57" max="57" width="9.140625" style="198" bestFit="1" customWidth="1"/>
    <col min="58" max="16384" width="9.140625" style="198"/>
  </cols>
  <sheetData>
    <row r="1" spans="1:73" ht="19.5" customHeight="1" x14ac:dyDescent="0.25">
      <c r="A1" s="202"/>
      <c r="B1" s="202"/>
      <c r="C1" s="203"/>
      <c r="D1" s="203"/>
      <c r="E1" s="203"/>
      <c r="F1" s="203"/>
      <c r="G1" s="203"/>
      <c r="H1" s="203"/>
      <c r="I1" s="203"/>
      <c r="J1" s="204"/>
      <c r="K1" s="204"/>
      <c r="L1" s="204"/>
      <c r="M1" s="204"/>
      <c r="N1" s="204"/>
      <c r="O1" s="205"/>
      <c r="P1" s="206"/>
      <c r="Q1" s="206"/>
      <c r="R1" s="207"/>
      <c r="S1" s="205"/>
      <c r="T1" s="205"/>
      <c r="U1" s="205"/>
      <c r="V1" s="205"/>
      <c r="W1" s="205"/>
      <c r="X1" s="205"/>
      <c r="Y1" s="208"/>
      <c r="Z1" s="209"/>
      <c r="AA1" s="209"/>
      <c r="AB1" s="210"/>
    </row>
    <row r="2" spans="1:73" ht="64.5" customHeight="1" x14ac:dyDescent="0.25">
      <c r="A2" s="628" t="s">
        <v>821</v>
      </c>
      <c r="B2" s="629"/>
      <c r="C2" s="630"/>
      <c r="D2" s="211"/>
      <c r="E2" s="203"/>
      <c r="F2" s="203"/>
      <c r="G2" s="203"/>
      <c r="H2" s="203"/>
      <c r="I2" s="203"/>
      <c r="J2" s="204"/>
      <c r="K2" s="204"/>
      <c r="L2" s="204"/>
      <c r="M2" s="204"/>
      <c r="N2" s="204"/>
      <c r="O2" s="205"/>
      <c r="P2" s="206"/>
      <c r="Q2" s="206"/>
      <c r="R2" s="207"/>
      <c r="S2" s="205"/>
      <c r="T2" s="205"/>
      <c r="U2" s="205"/>
      <c r="V2" s="205"/>
      <c r="W2" s="205"/>
      <c r="X2" s="205"/>
      <c r="Y2" s="208"/>
      <c r="Z2" s="209"/>
      <c r="AA2" s="209"/>
      <c r="AB2" s="210"/>
    </row>
    <row r="3" spans="1:73" s="212" customFormat="1" ht="64.5" customHeight="1" x14ac:dyDescent="0.2">
      <c r="A3" s="605" t="s">
        <v>822</v>
      </c>
      <c r="B3" s="607"/>
      <c r="C3" s="605" t="s">
        <v>823</v>
      </c>
      <c r="D3" s="605" t="s">
        <v>824</v>
      </c>
      <c r="E3" s="612" t="s">
        <v>825</v>
      </c>
      <c r="F3" s="612" t="s">
        <v>826</v>
      </c>
      <c r="G3" s="612" t="s">
        <v>827</v>
      </c>
      <c r="H3" s="612" t="s">
        <v>828</v>
      </c>
      <c r="I3" s="602" t="s">
        <v>829</v>
      </c>
      <c r="J3" s="617" t="s">
        <v>830</v>
      </c>
      <c r="K3" s="617" t="s">
        <v>831</v>
      </c>
      <c r="L3" s="631"/>
      <c r="M3" s="631"/>
      <c r="N3" s="631"/>
      <c r="O3" s="631"/>
      <c r="P3" s="631"/>
      <c r="Q3" s="631"/>
      <c r="R3" s="631"/>
      <c r="S3" s="631"/>
      <c r="T3" s="632"/>
      <c r="U3" s="605" t="s">
        <v>832</v>
      </c>
      <c r="V3" s="617" t="s">
        <v>833</v>
      </c>
      <c r="W3" s="617"/>
      <c r="X3" s="617" t="s">
        <v>834</v>
      </c>
      <c r="Y3" s="602" t="s">
        <v>835</v>
      </c>
      <c r="Z3" s="653" t="s">
        <v>836</v>
      </c>
      <c r="AA3" s="650" t="s">
        <v>837</v>
      </c>
      <c r="AB3" s="647" t="s">
        <v>838</v>
      </c>
      <c r="AC3" s="609" t="s">
        <v>839</v>
      </c>
      <c r="AD3" s="610"/>
      <c r="AE3" s="610"/>
      <c r="AF3" s="610"/>
      <c r="AG3" s="610"/>
      <c r="AH3" s="610"/>
      <c r="AI3" s="610"/>
      <c r="AJ3" s="610"/>
      <c r="AK3" s="610"/>
      <c r="AL3" s="610"/>
      <c r="AM3" s="610"/>
      <c r="AN3" s="610"/>
      <c r="AO3" s="610"/>
      <c r="AP3" s="610"/>
      <c r="AQ3" s="610"/>
      <c r="AR3" s="610"/>
      <c r="AS3" s="611"/>
      <c r="AT3" s="608" t="s">
        <v>840</v>
      </c>
      <c r="AU3" s="606"/>
      <c r="AV3" s="606"/>
      <c r="AW3" s="606"/>
      <c r="AX3" s="607"/>
      <c r="AY3" s="605" t="s">
        <v>841</v>
      </c>
      <c r="AZ3" s="606"/>
      <c r="BA3" s="606"/>
      <c r="BB3" s="606"/>
      <c r="BC3" s="606"/>
      <c r="BD3" s="606"/>
      <c r="BE3" s="607"/>
      <c r="BF3" s="602" t="s">
        <v>842</v>
      </c>
      <c r="BG3" s="603"/>
      <c r="BH3" s="603"/>
      <c r="BI3" s="603"/>
      <c r="BJ3" s="603"/>
      <c r="BK3" s="603"/>
      <c r="BL3" s="603"/>
      <c r="BM3" s="603"/>
      <c r="BN3" s="603"/>
      <c r="BO3" s="603"/>
      <c r="BP3" s="603"/>
      <c r="BQ3" s="603"/>
      <c r="BR3" s="603"/>
      <c r="BS3" s="603"/>
      <c r="BT3" s="604"/>
    </row>
    <row r="4" spans="1:73" s="212" customFormat="1" ht="43.5" customHeight="1" x14ac:dyDescent="0.2">
      <c r="A4" s="633" t="s">
        <v>843</v>
      </c>
      <c r="B4" s="633" t="s">
        <v>844</v>
      </c>
      <c r="C4" s="635"/>
      <c r="D4" s="635"/>
      <c r="E4" s="613"/>
      <c r="F4" s="613"/>
      <c r="G4" s="613"/>
      <c r="H4" s="613"/>
      <c r="I4" s="615"/>
      <c r="J4" s="618"/>
      <c r="K4" s="617" t="s">
        <v>845</v>
      </c>
      <c r="L4" s="632"/>
      <c r="M4" s="617" t="s">
        <v>846</v>
      </c>
      <c r="N4" s="632"/>
      <c r="O4" s="617" t="s">
        <v>847</v>
      </c>
      <c r="P4" s="632"/>
      <c r="Q4" s="617" t="s">
        <v>848</v>
      </c>
      <c r="R4" s="632"/>
      <c r="S4" s="656" t="s">
        <v>849</v>
      </c>
      <c r="T4" s="656" t="s">
        <v>850</v>
      </c>
      <c r="U4" s="635"/>
      <c r="V4" s="618"/>
      <c r="W4" s="618"/>
      <c r="X4" s="618"/>
      <c r="Y4" s="615"/>
      <c r="Z4" s="654"/>
      <c r="AA4" s="651"/>
      <c r="AB4" s="648"/>
      <c r="AC4" s="637" t="s">
        <v>851</v>
      </c>
      <c r="AD4" s="637" t="s">
        <v>852</v>
      </c>
      <c r="AE4" s="637" t="s">
        <v>853</v>
      </c>
      <c r="AF4" s="626" t="s">
        <v>854</v>
      </c>
      <c r="AG4" s="626" t="s">
        <v>855</v>
      </c>
      <c r="AH4" s="626" t="s">
        <v>856</v>
      </c>
      <c r="AI4" s="637" t="s">
        <v>857</v>
      </c>
      <c r="AJ4" s="637" t="s">
        <v>858</v>
      </c>
      <c r="AK4" s="637" t="s">
        <v>859</v>
      </c>
      <c r="AL4" s="626" t="s">
        <v>860</v>
      </c>
      <c r="AM4" s="626" t="s">
        <v>861</v>
      </c>
      <c r="AN4" s="626" t="s">
        <v>862</v>
      </c>
      <c r="AO4" s="664" t="s">
        <v>863</v>
      </c>
      <c r="AP4" s="664" t="s">
        <v>864</v>
      </c>
      <c r="AQ4" s="664" t="s">
        <v>865</v>
      </c>
      <c r="AR4" s="664" t="s">
        <v>866</v>
      </c>
      <c r="AS4" s="664" t="s">
        <v>44</v>
      </c>
      <c r="AT4" s="664" t="s">
        <v>863</v>
      </c>
      <c r="AU4" s="664" t="s">
        <v>864</v>
      </c>
      <c r="AV4" s="664" t="s">
        <v>865</v>
      </c>
      <c r="AW4" s="664" t="s">
        <v>866</v>
      </c>
      <c r="AX4" s="664" t="s">
        <v>44</v>
      </c>
      <c r="AY4" s="620" t="s">
        <v>867</v>
      </c>
      <c r="AZ4" s="622" t="s">
        <v>868</v>
      </c>
      <c r="BA4" s="622" t="s">
        <v>869</v>
      </c>
      <c r="BB4" s="624" t="s">
        <v>870</v>
      </c>
      <c r="BC4" s="642" t="s">
        <v>871</v>
      </c>
      <c r="BD4" s="643"/>
      <c r="BE4" s="214" t="s">
        <v>872</v>
      </c>
      <c r="BF4" s="639" t="s">
        <v>873</v>
      </c>
      <c r="BG4" s="640"/>
      <c r="BH4" s="640"/>
      <c r="BI4" s="640"/>
      <c r="BJ4" s="641"/>
      <c r="BK4" s="644" t="s">
        <v>874</v>
      </c>
      <c r="BL4" s="645"/>
      <c r="BM4" s="645"/>
      <c r="BN4" s="645"/>
      <c r="BO4" s="646"/>
      <c r="BP4" s="609" t="s">
        <v>875</v>
      </c>
      <c r="BQ4" s="610"/>
      <c r="BR4" s="610"/>
      <c r="BS4" s="610"/>
      <c r="BT4" s="611"/>
    </row>
    <row r="5" spans="1:73" s="212" customFormat="1" ht="44.25" customHeight="1" x14ac:dyDescent="0.2">
      <c r="A5" s="634"/>
      <c r="B5" s="634"/>
      <c r="C5" s="636"/>
      <c r="D5" s="636"/>
      <c r="E5" s="614"/>
      <c r="F5" s="614"/>
      <c r="G5" s="614"/>
      <c r="H5" s="614"/>
      <c r="I5" s="616"/>
      <c r="J5" s="619"/>
      <c r="K5" s="89" t="s">
        <v>544</v>
      </c>
      <c r="L5" s="89" t="s">
        <v>804</v>
      </c>
      <c r="M5" s="89" t="s">
        <v>544</v>
      </c>
      <c r="N5" s="89" t="s">
        <v>804</v>
      </c>
      <c r="O5" s="89" t="s">
        <v>544</v>
      </c>
      <c r="P5" s="89" t="s">
        <v>804</v>
      </c>
      <c r="Q5" s="89" t="s">
        <v>544</v>
      </c>
      <c r="R5" s="89" t="s">
        <v>804</v>
      </c>
      <c r="S5" s="657"/>
      <c r="T5" s="657"/>
      <c r="U5" s="636"/>
      <c r="V5" s="619"/>
      <c r="W5" s="619"/>
      <c r="X5" s="619"/>
      <c r="Y5" s="616"/>
      <c r="Z5" s="655"/>
      <c r="AA5" s="652"/>
      <c r="AB5" s="649"/>
      <c r="AC5" s="638"/>
      <c r="AD5" s="638"/>
      <c r="AE5" s="638"/>
      <c r="AF5" s="627"/>
      <c r="AG5" s="627"/>
      <c r="AH5" s="627"/>
      <c r="AI5" s="638"/>
      <c r="AJ5" s="638"/>
      <c r="AK5" s="638"/>
      <c r="AL5" s="627"/>
      <c r="AM5" s="627"/>
      <c r="AN5" s="627"/>
      <c r="AO5" s="665"/>
      <c r="AP5" s="665"/>
      <c r="AQ5" s="665"/>
      <c r="AR5" s="665"/>
      <c r="AS5" s="665"/>
      <c r="AT5" s="665"/>
      <c r="AU5" s="665"/>
      <c r="AV5" s="665"/>
      <c r="AW5" s="665"/>
      <c r="AX5" s="665"/>
      <c r="AY5" s="621"/>
      <c r="AZ5" s="623"/>
      <c r="BA5" s="623"/>
      <c r="BB5" s="625"/>
      <c r="BC5" s="215" t="s">
        <v>876</v>
      </c>
      <c r="BD5" s="215" t="s">
        <v>877</v>
      </c>
      <c r="BE5" s="215" t="s">
        <v>878</v>
      </c>
      <c r="BF5" s="670" t="s">
        <v>863</v>
      </c>
      <c r="BG5" s="670" t="s">
        <v>864</v>
      </c>
      <c r="BH5" s="670" t="s">
        <v>865</v>
      </c>
      <c r="BI5" s="670" t="s">
        <v>866</v>
      </c>
      <c r="BJ5" s="670" t="s">
        <v>44</v>
      </c>
      <c r="BK5" s="670" t="s">
        <v>863</v>
      </c>
      <c r="BL5" s="670" t="s">
        <v>864</v>
      </c>
      <c r="BM5" s="670" t="s">
        <v>865</v>
      </c>
      <c r="BN5" s="670" t="s">
        <v>866</v>
      </c>
      <c r="BO5" s="670" t="s">
        <v>44</v>
      </c>
      <c r="BP5" s="664" t="s">
        <v>863</v>
      </c>
      <c r="BQ5" s="664" t="s">
        <v>864</v>
      </c>
      <c r="BR5" s="664" t="s">
        <v>865</v>
      </c>
      <c r="BS5" s="664" t="s">
        <v>866</v>
      </c>
      <c r="BT5" s="664" t="s">
        <v>44</v>
      </c>
    </row>
    <row r="6" spans="1:73" s="212" customFormat="1" ht="13.5" customHeight="1" x14ac:dyDescent="0.2">
      <c r="A6" s="213">
        <v>1</v>
      </c>
      <c r="B6" s="213">
        <v>2</v>
      </c>
      <c r="C6" s="213">
        <v>3</v>
      </c>
      <c r="D6" s="213"/>
      <c r="E6" s="216">
        <v>4</v>
      </c>
      <c r="F6" s="216"/>
      <c r="G6" s="216">
        <v>5</v>
      </c>
      <c r="H6" s="216">
        <v>6</v>
      </c>
      <c r="I6" s="216">
        <v>7</v>
      </c>
      <c r="J6" s="216">
        <v>8</v>
      </c>
      <c r="K6" s="216">
        <v>9</v>
      </c>
      <c r="L6" s="216">
        <v>10</v>
      </c>
      <c r="M6" s="216">
        <v>11</v>
      </c>
      <c r="N6" s="216">
        <v>12</v>
      </c>
      <c r="O6" s="216">
        <v>13</v>
      </c>
      <c r="P6" s="216">
        <v>14</v>
      </c>
      <c r="Q6" s="216">
        <v>15</v>
      </c>
      <c r="R6" s="216">
        <v>16</v>
      </c>
      <c r="S6" s="216">
        <v>17</v>
      </c>
      <c r="T6" s="216">
        <v>18</v>
      </c>
      <c r="U6" s="216">
        <v>19</v>
      </c>
      <c r="V6" s="217">
        <v>20</v>
      </c>
      <c r="W6" s="217"/>
      <c r="X6" s="217"/>
      <c r="Y6" s="218">
        <v>21</v>
      </c>
      <c r="Z6" s="219"/>
      <c r="AA6" s="220"/>
      <c r="AB6" s="221"/>
      <c r="AC6" s="222">
        <v>31</v>
      </c>
      <c r="AD6" s="222">
        <v>28</v>
      </c>
      <c r="AE6" s="222">
        <v>31</v>
      </c>
      <c r="AF6" s="223">
        <v>30</v>
      </c>
      <c r="AG6" s="223">
        <v>31</v>
      </c>
      <c r="AH6" s="223">
        <v>30</v>
      </c>
      <c r="AI6" s="222">
        <v>31</v>
      </c>
      <c r="AJ6" s="222">
        <v>31</v>
      </c>
      <c r="AK6" s="222">
        <v>30</v>
      </c>
      <c r="AL6" s="223">
        <v>31</v>
      </c>
      <c r="AM6" s="223">
        <v>30</v>
      </c>
      <c r="AN6" s="223">
        <v>31</v>
      </c>
      <c r="AO6" s="666"/>
      <c r="AP6" s="666"/>
      <c r="AQ6" s="666"/>
      <c r="AR6" s="666"/>
      <c r="AS6" s="666"/>
      <c r="AT6" s="666"/>
      <c r="AU6" s="666"/>
      <c r="AV6" s="666"/>
      <c r="AW6" s="666"/>
      <c r="AX6" s="666"/>
      <c r="AY6" s="224">
        <f>5000/1000</f>
        <v>5</v>
      </c>
      <c r="AZ6" s="224">
        <f t="shared" ref="AZ6:AZ13" si="0">3500/1000</f>
        <v>3.5</v>
      </c>
      <c r="BA6" s="225">
        <f t="shared" ref="BA6:BA13" si="1">5000/1000</f>
        <v>5</v>
      </c>
      <c r="BB6" s="224">
        <f t="shared" ref="BB6:BB13" si="2">3500/1000</f>
        <v>3.5</v>
      </c>
      <c r="BC6" s="224">
        <f>15000/1000</f>
        <v>15</v>
      </c>
      <c r="BD6" s="224">
        <f>15000/1000</f>
        <v>15</v>
      </c>
      <c r="BE6" s="226">
        <v>10</v>
      </c>
      <c r="BF6" s="671"/>
      <c r="BG6" s="671"/>
      <c r="BH6" s="671"/>
      <c r="BI6" s="671"/>
      <c r="BJ6" s="671"/>
      <c r="BK6" s="671"/>
      <c r="BL6" s="671"/>
      <c r="BM6" s="671"/>
      <c r="BN6" s="671"/>
      <c r="BO6" s="671"/>
      <c r="BP6" s="666"/>
      <c r="BQ6" s="666"/>
      <c r="BR6" s="666"/>
      <c r="BS6" s="666"/>
      <c r="BT6" s="666"/>
    </row>
    <row r="7" spans="1:73" s="212" customFormat="1" ht="18" customHeight="1" x14ac:dyDescent="0.2">
      <c r="A7" s="227"/>
      <c r="B7" s="228" t="s">
        <v>879</v>
      </c>
      <c r="C7" s="229" t="s">
        <v>880</v>
      </c>
      <c r="D7" s="230" t="s">
        <v>881</v>
      </c>
      <c r="E7" s="231">
        <v>1</v>
      </c>
      <c r="F7" s="231" t="s">
        <v>882</v>
      </c>
      <c r="G7" s="232"/>
      <c r="H7" s="233">
        <v>2.7</v>
      </c>
      <c r="I7" s="234">
        <f>J27</f>
        <v>22204</v>
      </c>
      <c r="J7" s="235">
        <f t="shared" ref="J7:J16" si="3">ROUND(H7*I7, 2)</f>
        <v>59950.8</v>
      </c>
      <c r="K7" s="236"/>
      <c r="L7" s="237"/>
      <c r="M7" s="236"/>
      <c r="N7" s="237"/>
      <c r="O7" s="236"/>
      <c r="P7" s="237"/>
      <c r="Q7" s="237"/>
      <c r="R7" s="238"/>
      <c r="S7" s="238">
        <f t="shared" ref="S7:S16" si="4">ROUND((J7+L7+N7+P7+R7)*0.8, 2)</f>
        <v>47960.639999999999</v>
      </c>
      <c r="T7" s="238">
        <f t="shared" ref="T7:T16" si="5">ROUND((J7+L7+N7+P7+R7)*0.8, 2)</f>
        <v>47960.639999999999</v>
      </c>
      <c r="U7" s="238">
        <f t="shared" ref="U7:U16" si="6">ROUND((J7+L7+N7+P7+R7+S7+T7)*E7, 2)</f>
        <v>155872.07999999999</v>
      </c>
      <c r="V7" s="238">
        <f t="shared" ref="V7:V16" si="7">U7*E7</f>
        <v>155872.07999999999</v>
      </c>
      <c r="W7" s="238"/>
      <c r="X7" s="238">
        <f>J7*1.5</f>
        <v>89926.200000000012</v>
      </c>
      <c r="Y7" s="239" t="s">
        <v>883</v>
      </c>
      <c r="Z7" s="219">
        <f>52+12</f>
        <v>64</v>
      </c>
      <c r="AA7" s="219"/>
      <c r="AB7" s="238"/>
      <c r="AC7" s="240">
        <f t="shared" ref="AC7:AC13" si="8">V7/1000+AB7</f>
        <v>155.87207999999998</v>
      </c>
      <c r="AD7" s="240">
        <f t="shared" ref="AD7:AD13" si="9">V7/1000+AB7</f>
        <v>155.87207999999998</v>
      </c>
      <c r="AE7" s="240">
        <f t="shared" ref="AE7:AE13" si="10">V7/1000+AB7</f>
        <v>155.87207999999998</v>
      </c>
      <c r="AF7" s="240">
        <f t="shared" ref="AF7:AF13" si="11">V7/1000+AB7</f>
        <v>155.87207999999998</v>
      </c>
      <c r="AG7" s="240">
        <f t="shared" ref="AG7:AG13" si="12">V7/1000+AB7</f>
        <v>155.87207999999998</v>
      </c>
      <c r="AH7" s="240">
        <f t="shared" ref="AH7:AH13" si="13">V7/1000+AB7</f>
        <v>155.87207999999998</v>
      </c>
      <c r="AI7" s="240">
        <f t="shared" ref="AI7:AI13" si="14">V7/1000+AB7</f>
        <v>155.87207999999998</v>
      </c>
      <c r="AJ7" s="240">
        <f t="shared" ref="AJ7:AJ13" si="15">V7/1000+AB7</f>
        <v>155.87207999999998</v>
      </c>
      <c r="AK7" s="240">
        <f>V7/1000+AB7+X7/1000</f>
        <v>245.79827999999998</v>
      </c>
      <c r="AL7" s="240">
        <f t="shared" ref="AL7:AL13" si="16">V7/1000+AB7</f>
        <v>155.87207999999998</v>
      </c>
      <c r="AM7" s="240">
        <f t="shared" ref="AM7:AM13" si="17">V7/1000+AB7</f>
        <v>155.87207999999998</v>
      </c>
      <c r="AN7" s="240">
        <f t="shared" ref="AN7:AN13" si="18">V7/1000+AB7</f>
        <v>155.87207999999998</v>
      </c>
      <c r="AO7" s="240">
        <f t="shared" ref="AO7:AO24" si="19">SUM(AC7:AE7)</f>
        <v>467.61623999999995</v>
      </c>
      <c r="AP7" s="240">
        <f t="shared" ref="AP7:AP24" si="20">SUM(AF7:AH7)</f>
        <v>467.61623999999995</v>
      </c>
      <c r="AQ7" s="240">
        <f t="shared" ref="AQ7:AQ24" si="21">SUM(AI7:AK7)</f>
        <v>557.54243999999994</v>
      </c>
      <c r="AR7" s="240">
        <f t="shared" ref="AR7:AR24" si="22">SUM(AL7:AN7)</f>
        <v>467.61623999999995</v>
      </c>
      <c r="AS7" s="240">
        <f t="shared" ref="AS7:AS24" si="23">SUM(AO7:AR7)</f>
        <v>1960.3911599999997</v>
      </c>
      <c r="AT7" s="240">
        <f t="shared" ref="AT7:AT16" si="24">AO7*0.309</f>
        <v>144.49341815999998</v>
      </c>
      <c r="AU7" s="240">
        <f t="shared" ref="AU7:AU16" si="25">AP7*0.309</f>
        <v>144.49341815999998</v>
      </c>
      <c r="AV7" s="240">
        <f t="shared" ref="AV7:AV16" si="26">AQ7*0.309</f>
        <v>172.28061395999998</v>
      </c>
      <c r="AW7" s="240">
        <f t="shared" ref="AW7:AW16" si="27">AR7*0.309</f>
        <v>144.49341815999998</v>
      </c>
      <c r="AX7" s="240">
        <f t="shared" ref="AX7:AX16" si="28">SUM(AT7:AW7)</f>
        <v>605.76086843999997</v>
      </c>
      <c r="AY7" s="224">
        <f t="shared" ref="AY7:AY13" si="29">5000/1000/4</f>
        <v>1.25</v>
      </c>
      <c r="AZ7" s="224">
        <f t="shared" si="0"/>
        <v>3.5</v>
      </c>
      <c r="BA7" s="225">
        <f t="shared" si="1"/>
        <v>5</v>
      </c>
      <c r="BB7" s="224">
        <f t="shared" si="2"/>
        <v>3.5</v>
      </c>
      <c r="BC7" s="240"/>
      <c r="BD7" s="240"/>
      <c r="BE7" s="241"/>
      <c r="BF7" s="240">
        <f t="shared" ref="BF7:BF24" si="30">AY7+AZ7</f>
        <v>4.75</v>
      </c>
      <c r="BG7" s="240">
        <f t="shared" ref="BG7:BG24" si="31">AY7</f>
        <v>1.25</v>
      </c>
      <c r="BH7" s="240">
        <f t="shared" ref="BH7:BH24" si="32">AY7+BA7</f>
        <v>6.25</v>
      </c>
      <c r="BI7" s="240">
        <f t="shared" ref="BI7:BI24" si="33">AY7+BB7</f>
        <v>4.75</v>
      </c>
      <c r="BJ7" s="240">
        <f t="shared" ref="BJ7:BJ24" si="34">SUM(BF7:BI7)</f>
        <v>17</v>
      </c>
      <c r="BK7" s="240">
        <f t="shared" ref="BK7:BK24" si="35">BF7*0.309</f>
        <v>1.4677499999999999</v>
      </c>
      <c r="BL7" s="240">
        <f t="shared" ref="BL7:BL24" si="36">BG7*0.309</f>
        <v>0.38624999999999998</v>
      </c>
      <c r="BM7" s="240">
        <f t="shared" ref="BM7:BM24" si="37">BH7*0.309</f>
        <v>1.9312499999999999</v>
      </c>
      <c r="BN7" s="240">
        <f t="shared" ref="BN7:BN24" si="38">BI7*0.309</f>
        <v>1.4677499999999999</v>
      </c>
      <c r="BO7" s="240">
        <f t="shared" ref="BO7:BO24" si="39">SUM(BK7:BN7)</f>
        <v>5.2529999999999992</v>
      </c>
      <c r="BP7" s="240">
        <f t="shared" ref="BP7:BP24" si="40">BF7+BK7</f>
        <v>6.2177499999999997</v>
      </c>
      <c r="BQ7" s="240">
        <f t="shared" ref="BQ7:BQ24" si="41">BG7+BL7</f>
        <v>1.63625</v>
      </c>
      <c r="BR7" s="240">
        <f t="shared" ref="BR7:BR24" si="42">BH7+BM7</f>
        <v>8.1812500000000004</v>
      </c>
      <c r="BS7" s="240">
        <f t="shared" ref="BS7:BS24" si="43">BI7+BN7</f>
        <v>6.2177499999999997</v>
      </c>
      <c r="BT7" s="240">
        <f t="shared" ref="BT7:BT24" si="44">SUM(BP7:BS7)</f>
        <v>22.252999999999997</v>
      </c>
      <c r="BU7" s="242"/>
    </row>
    <row r="8" spans="1:73" s="212" customFormat="1" ht="17.25" customHeight="1" x14ac:dyDescent="0.2">
      <c r="A8" s="243" t="s">
        <v>884</v>
      </c>
      <c r="B8" s="228" t="s">
        <v>879</v>
      </c>
      <c r="C8" s="229" t="s">
        <v>885</v>
      </c>
      <c r="D8" s="244" t="s">
        <v>22</v>
      </c>
      <c r="E8" s="231">
        <v>1</v>
      </c>
      <c r="F8" s="231" t="s">
        <v>882</v>
      </c>
      <c r="G8" s="232">
        <v>15</v>
      </c>
      <c r="H8" s="233">
        <v>3.62</v>
      </c>
      <c r="I8" s="234">
        <v>9100</v>
      </c>
      <c r="J8" s="235">
        <f t="shared" si="3"/>
        <v>32942</v>
      </c>
      <c r="K8" s="245"/>
      <c r="L8" s="238"/>
      <c r="M8" s="245"/>
      <c r="N8" s="238"/>
      <c r="O8" s="245"/>
      <c r="P8" s="238"/>
      <c r="Q8" s="246">
        <v>30</v>
      </c>
      <c r="R8" s="238">
        <f t="shared" ref="R8:R16" si="45">ROUND((J8+L8+N8+P8)*Q8%, 2)</f>
        <v>9882.6</v>
      </c>
      <c r="S8" s="238">
        <f t="shared" si="4"/>
        <v>34259.68</v>
      </c>
      <c r="T8" s="238">
        <f t="shared" si="5"/>
        <v>34259.68</v>
      </c>
      <c r="U8" s="238">
        <f t="shared" si="6"/>
        <v>111343.96</v>
      </c>
      <c r="V8" s="238">
        <f t="shared" si="7"/>
        <v>111343.96</v>
      </c>
      <c r="W8" s="238"/>
      <c r="X8" s="238"/>
      <c r="Y8" s="247"/>
      <c r="Z8" s="219">
        <f>52+10</f>
        <v>62</v>
      </c>
      <c r="AA8" s="219"/>
      <c r="AB8" s="238">
        <f t="shared" ref="AB8:AB13" si="46">V8/12/1000</f>
        <v>9.2786633333333342</v>
      </c>
      <c r="AC8" s="240">
        <f t="shared" si="8"/>
        <v>120.62262333333334</v>
      </c>
      <c r="AD8" s="240">
        <f t="shared" si="9"/>
        <v>120.62262333333334</v>
      </c>
      <c r="AE8" s="240">
        <f t="shared" si="10"/>
        <v>120.62262333333334</v>
      </c>
      <c r="AF8" s="240">
        <f t="shared" si="11"/>
        <v>120.62262333333334</v>
      </c>
      <c r="AG8" s="240">
        <f t="shared" si="12"/>
        <v>120.62262333333334</v>
      </c>
      <c r="AH8" s="240">
        <f t="shared" si="13"/>
        <v>120.62262333333334</v>
      </c>
      <c r="AI8" s="240">
        <f t="shared" si="14"/>
        <v>120.62262333333334</v>
      </c>
      <c r="AJ8" s="240">
        <f t="shared" si="15"/>
        <v>120.62262333333334</v>
      </c>
      <c r="AK8" s="240">
        <f t="shared" ref="AK8:AK13" si="47">V8/1000+AB8</f>
        <v>120.62262333333334</v>
      </c>
      <c r="AL8" s="240">
        <f t="shared" si="16"/>
        <v>120.62262333333334</v>
      </c>
      <c r="AM8" s="240">
        <f t="shared" si="17"/>
        <v>120.62262333333334</v>
      </c>
      <c r="AN8" s="240">
        <f t="shared" si="18"/>
        <v>120.62262333333334</v>
      </c>
      <c r="AO8" s="240">
        <f t="shared" si="19"/>
        <v>361.86787000000004</v>
      </c>
      <c r="AP8" s="240">
        <f t="shared" si="20"/>
        <v>361.86787000000004</v>
      </c>
      <c r="AQ8" s="240">
        <f t="shared" si="21"/>
        <v>361.86787000000004</v>
      </c>
      <c r="AR8" s="240">
        <f t="shared" si="22"/>
        <v>361.86787000000004</v>
      </c>
      <c r="AS8" s="240">
        <f t="shared" si="23"/>
        <v>1447.4714800000002</v>
      </c>
      <c r="AT8" s="240">
        <f t="shared" si="24"/>
        <v>111.81717183000001</v>
      </c>
      <c r="AU8" s="240">
        <f t="shared" si="25"/>
        <v>111.81717183000001</v>
      </c>
      <c r="AV8" s="240">
        <f t="shared" si="26"/>
        <v>111.81717183000001</v>
      </c>
      <c r="AW8" s="240">
        <f t="shared" si="27"/>
        <v>111.81717183000001</v>
      </c>
      <c r="AX8" s="240">
        <f t="shared" si="28"/>
        <v>447.26868732000003</v>
      </c>
      <c r="AY8" s="224">
        <f t="shared" si="29"/>
        <v>1.25</v>
      </c>
      <c r="AZ8" s="224">
        <f t="shared" si="0"/>
        <v>3.5</v>
      </c>
      <c r="BA8" s="225">
        <f t="shared" si="1"/>
        <v>5</v>
      </c>
      <c r="BB8" s="224">
        <f t="shared" si="2"/>
        <v>3.5</v>
      </c>
      <c r="BC8" s="240"/>
      <c r="BD8" s="240"/>
      <c r="BE8" s="241"/>
      <c r="BF8" s="240">
        <f t="shared" si="30"/>
        <v>4.75</v>
      </c>
      <c r="BG8" s="240">
        <f t="shared" si="31"/>
        <v>1.25</v>
      </c>
      <c r="BH8" s="240">
        <f t="shared" si="32"/>
        <v>6.25</v>
      </c>
      <c r="BI8" s="240">
        <f t="shared" si="33"/>
        <v>4.75</v>
      </c>
      <c r="BJ8" s="240">
        <f t="shared" si="34"/>
        <v>17</v>
      </c>
      <c r="BK8" s="240">
        <f t="shared" si="35"/>
        <v>1.4677499999999999</v>
      </c>
      <c r="BL8" s="240">
        <f t="shared" si="36"/>
        <v>0.38624999999999998</v>
      </c>
      <c r="BM8" s="240">
        <f t="shared" si="37"/>
        <v>1.9312499999999999</v>
      </c>
      <c r="BN8" s="240">
        <f t="shared" si="38"/>
        <v>1.4677499999999999</v>
      </c>
      <c r="BO8" s="240">
        <f t="shared" si="39"/>
        <v>5.2529999999999992</v>
      </c>
      <c r="BP8" s="240">
        <f t="shared" si="40"/>
        <v>6.2177499999999997</v>
      </c>
      <c r="BQ8" s="240">
        <f t="shared" si="41"/>
        <v>1.63625</v>
      </c>
      <c r="BR8" s="240">
        <f t="shared" si="42"/>
        <v>8.1812500000000004</v>
      </c>
      <c r="BS8" s="240">
        <f t="shared" si="43"/>
        <v>6.2177499999999997</v>
      </c>
      <c r="BT8" s="240">
        <f t="shared" si="44"/>
        <v>22.252999999999997</v>
      </c>
    </row>
    <row r="9" spans="1:73" s="212" customFormat="1" ht="17.25" customHeight="1" x14ac:dyDescent="0.2">
      <c r="A9" s="243" t="s">
        <v>884</v>
      </c>
      <c r="B9" s="228" t="s">
        <v>879</v>
      </c>
      <c r="C9" s="229" t="s">
        <v>886</v>
      </c>
      <c r="D9" s="248" t="s">
        <v>551</v>
      </c>
      <c r="E9" s="231">
        <v>1</v>
      </c>
      <c r="F9" s="231" t="s">
        <v>882</v>
      </c>
      <c r="G9" s="232">
        <v>15</v>
      </c>
      <c r="H9" s="233">
        <v>3.62</v>
      </c>
      <c r="I9" s="234">
        <v>9100</v>
      </c>
      <c r="J9" s="235">
        <f t="shared" si="3"/>
        <v>32942</v>
      </c>
      <c r="K9" s="245"/>
      <c r="L9" s="238"/>
      <c r="M9" s="245"/>
      <c r="N9" s="238"/>
      <c r="O9" s="245"/>
      <c r="P9" s="238"/>
      <c r="Q9" s="246">
        <v>30</v>
      </c>
      <c r="R9" s="238">
        <f t="shared" si="45"/>
        <v>9882.6</v>
      </c>
      <c r="S9" s="238">
        <f t="shared" si="4"/>
        <v>34259.68</v>
      </c>
      <c r="T9" s="238">
        <f t="shared" si="5"/>
        <v>34259.68</v>
      </c>
      <c r="U9" s="238">
        <f t="shared" si="6"/>
        <v>111343.96</v>
      </c>
      <c r="V9" s="238">
        <f t="shared" si="7"/>
        <v>111343.96</v>
      </c>
      <c r="W9" s="238"/>
      <c r="X9" s="238"/>
      <c r="Y9" s="247"/>
      <c r="Z9" s="219">
        <f>52+10</f>
        <v>62</v>
      </c>
      <c r="AA9" s="219"/>
      <c r="AB9" s="238">
        <f t="shared" si="46"/>
        <v>9.2786633333333342</v>
      </c>
      <c r="AC9" s="240">
        <f t="shared" si="8"/>
        <v>120.62262333333334</v>
      </c>
      <c r="AD9" s="240">
        <f t="shared" si="9"/>
        <v>120.62262333333334</v>
      </c>
      <c r="AE9" s="240">
        <f t="shared" si="10"/>
        <v>120.62262333333334</v>
      </c>
      <c r="AF9" s="240">
        <f t="shared" si="11"/>
        <v>120.62262333333334</v>
      </c>
      <c r="AG9" s="240">
        <f t="shared" si="12"/>
        <v>120.62262333333334</v>
      </c>
      <c r="AH9" s="240">
        <f t="shared" si="13"/>
        <v>120.62262333333334</v>
      </c>
      <c r="AI9" s="240">
        <f t="shared" si="14"/>
        <v>120.62262333333334</v>
      </c>
      <c r="AJ9" s="240">
        <f t="shared" si="15"/>
        <v>120.62262333333334</v>
      </c>
      <c r="AK9" s="240">
        <f t="shared" si="47"/>
        <v>120.62262333333334</v>
      </c>
      <c r="AL9" s="240">
        <f t="shared" si="16"/>
        <v>120.62262333333334</v>
      </c>
      <c r="AM9" s="240">
        <f t="shared" si="17"/>
        <v>120.62262333333334</v>
      </c>
      <c r="AN9" s="240">
        <f t="shared" si="18"/>
        <v>120.62262333333334</v>
      </c>
      <c r="AO9" s="240">
        <f t="shared" si="19"/>
        <v>361.86787000000004</v>
      </c>
      <c r="AP9" s="240">
        <f t="shared" si="20"/>
        <v>361.86787000000004</v>
      </c>
      <c r="AQ9" s="240">
        <f t="shared" si="21"/>
        <v>361.86787000000004</v>
      </c>
      <c r="AR9" s="240">
        <f t="shared" si="22"/>
        <v>361.86787000000004</v>
      </c>
      <c r="AS9" s="240">
        <f t="shared" si="23"/>
        <v>1447.4714800000002</v>
      </c>
      <c r="AT9" s="240">
        <f t="shared" si="24"/>
        <v>111.81717183000001</v>
      </c>
      <c r="AU9" s="240">
        <f t="shared" si="25"/>
        <v>111.81717183000001</v>
      </c>
      <c r="AV9" s="240">
        <f t="shared" si="26"/>
        <v>111.81717183000001</v>
      </c>
      <c r="AW9" s="240">
        <f t="shared" si="27"/>
        <v>111.81717183000001</v>
      </c>
      <c r="AX9" s="240">
        <f t="shared" si="28"/>
        <v>447.26868732000003</v>
      </c>
      <c r="AY9" s="224">
        <f t="shared" si="29"/>
        <v>1.25</v>
      </c>
      <c r="AZ9" s="224">
        <f t="shared" si="0"/>
        <v>3.5</v>
      </c>
      <c r="BA9" s="225">
        <f t="shared" si="1"/>
        <v>5</v>
      </c>
      <c r="BB9" s="224">
        <f t="shared" si="2"/>
        <v>3.5</v>
      </c>
      <c r="BC9" s="240"/>
      <c r="BD9" s="240"/>
      <c r="BE9" s="241"/>
      <c r="BF9" s="240">
        <f t="shared" si="30"/>
        <v>4.75</v>
      </c>
      <c r="BG9" s="240">
        <f t="shared" si="31"/>
        <v>1.25</v>
      </c>
      <c r="BH9" s="240">
        <f t="shared" si="32"/>
        <v>6.25</v>
      </c>
      <c r="BI9" s="240">
        <f t="shared" si="33"/>
        <v>4.75</v>
      </c>
      <c r="BJ9" s="240">
        <f t="shared" si="34"/>
        <v>17</v>
      </c>
      <c r="BK9" s="240">
        <f t="shared" si="35"/>
        <v>1.4677499999999999</v>
      </c>
      <c r="BL9" s="240">
        <f t="shared" si="36"/>
        <v>0.38624999999999998</v>
      </c>
      <c r="BM9" s="240">
        <f t="shared" si="37"/>
        <v>1.9312499999999999</v>
      </c>
      <c r="BN9" s="240">
        <f t="shared" si="38"/>
        <v>1.4677499999999999</v>
      </c>
      <c r="BO9" s="240">
        <f t="shared" si="39"/>
        <v>5.2529999999999992</v>
      </c>
      <c r="BP9" s="240">
        <f t="shared" si="40"/>
        <v>6.2177499999999997</v>
      </c>
      <c r="BQ9" s="240">
        <f t="shared" si="41"/>
        <v>1.63625</v>
      </c>
      <c r="BR9" s="240">
        <f t="shared" si="42"/>
        <v>8.1812500000000004</v>
      </c>
      <c r="BS9" s="240">
        <f t="shared" si="43"/>
        <v>6.2177499999999997</v>
      </c>
      <c r="BT9" s="240">
        <f t="shared" si="44"/>
        <v>22.252999999999997</v>
      </c>
    </row>
    <row r="10" spans="1:73" s="212" customFormat="1" ht="17.25" customHeight="1" x14ac:dyDescent="0.2">
      <c r="A10" s="243" t="s">
        <v>884</v>
      </c>
      <c r="B10" s="228" t="s">
        <v>879</v>
      </c>
      <c r="C10" s="229" t="s">
        <v>887</v>
      </c>
      <c r="D10" s="244" t="s">
        <v>888</v>
      </c>
      <c r="E10" s="231">
        <v>1</v>
      </c>
      <c r="F10" s="231" t="s">
        <v>882</v>
      </c>
      <c r="G10" s="232">
        <v>14</v>
      </c>
      <c r="H10" s="233">
        <v>3.36</v>
      </c>
      <c r="I10" s="234">
        <v>9100</v>
      </c>
      <c r="J10" s="235">
        <f t="shared" si="3"/>
        <v>30576</v>
      </c>
      <c r="K10" s="245"/>
      <c r="L10" s="238"/>
      <c r="M10" s="245"/>
      <c r="N10" s="238"/>
      <c r="O10" s="245"/>
      <c r="P10" s="238"/>
      <c r="Q10" s="246">
        <v>30</v>
      </c>
      <c r="R10" s="238">
        <f t="shared" si="45"/>
        <v>9172.7999999999993</v>
      </c>
      <c r="S10" s="238">
        <f t="shared" si="4"/>
        <v>31799.040000000001</v>
      </c>
      <c r="T10" s="238">
        <f t="shared" si="5"/>
        <v>31799.040000000001</v>
      </c>
      <c r="U10" s="238">
        <f t="shared" si="6"/>
        <v>103346.88</v>
      </c>
      <c r="V10" s="238">
        <f t="shared" si="7"/>
        <v>103346.88</v>
      </c>
      <c r="W10" s="238"/>
      <c r="X10" s="238"/>
      <c r="Y10" s="247"/>
      <c r="Z10" s="219">
        <f>52+10</f>
        <v>62</v>
      </c>
      <c r="AA10" s="219"/>
      <c r="AB10" s="238">
        <f t="shared" si="46"/>
        <v>8.6122399999999999</v>
      </c>
      <c r="AC10" s="240">
        <f t="shared" si="8"/>
        <v>111.95912</v>
      </c>
      <c r="AD10" s="240">
        <f t="shared" si="9"/>
        <v>111.95912</v>
      </c>
      <c r="AE10" s="240">
        <f t="shared" si="10"/>
        <v>111.95912</v>
      </c>
      <c r="AF10" s="240">
        <f t="shared" si="11"/>
        <v>111.95912</v>
      </c>
      <c r="AG10" s="240">
        <f t="shared" si="12"/>
        <v>111.95912</v>
      </c>
      <c r="AH10" s="240">
        <f t="shared" si="13"/>
        <v>111.95912</v>
      </c>
      <c r="AI10" s="240">
        <f t="shared" si="14"/>
        <v>111.95912</v>
      </c>
      <c r="AJ10" s="240">
        <f t="shared" si="15"/>
        <v>111.95912</v>
      </c>
      <c r="AK10" s="240">
        <f t="shared" si="47"/>
        <v>111.95912</v>
      </c>
      <c r="AL10" s="240">
        <f t="shared" si="16"/>
        <v>111.95912</v>
      </c>
      <c r="AM10" s="240">
        <f t="shared" si="17"/>
        <v>111.95912</v>
      </c>
      <c r="AN10" s="240">
        <f t="shared" si="18"/>
        <v>111.95912</v>
      </c>
      <c r="AO10" s="240">
        <f t="shared" si="19"/>
        <v>335.87736000000001</v>
      </c>
      <c r="AP10" s="240">
        <f t="shared" si="20"/>
        <v>335.87736000000001</v>
      </c>
      <c r="AQ10" s="240">
        <f t="shared" si="21"/>
        <v>335.87736000000001</v>
      </c>
      <c r="AR10" s="240">
        <f t="shared" si="22"/>
        <v>335.87736000000001</v>
      </c>
      <c r="AS10" s="240">
        <f t="shared" si="23"/>
        <v>1343.50944</v>
      </c>
      <c r="AT10" s="240">
        <f t="shared" si="24"/>
        <v>103.78610424</v>
      </c>
      <c r="AU10" s="240">
        <f t="shared" si="25"/>
        <v>103.78610424</v>
      </c>
      <c r="AV10" s="240">
        <f t="shared" si="26"/>
        <v>103.78610424</v>
      </c>
      <c r="AW10" s="240">
        <f t="shared" si="27"/>
        <v>103.78610424</v>
      </c>
      <c r="AX10" s="240">
        <f t="shared" si="28"/>
        <v>415.14441696</v>
      </c>
      <c r="AY10" s="224">
        <f t="shared" si="29"/>
        <v>1.25</v>
      </c>
      <c r="AZ10" s="224">
        <f t="shared" si="0"/>
        <v>3.5</v>
      </c>
      <c r="BA10" s="225">
        <f t="shared" si="1"/>
        <v>5</v>
      </c>
      <c r="BB10" s="224">
        <f t="shared" si="2"/>
        <v>3.5</v>
      </c>
      <c r="BC10" s="240"/>
      <c r="BD10" s="240"/>
      <c r="BE10" s="241"/>
      <c r="BF10" s="240">
        <f t="shared" si="30"/>
        <v>4.75</v>
      </c>
      <c r="BG10" s="240">
        <f t="shared" si="31"/>
        <v>1.25</v>
      </c>
      <c r="BH10" s="240">
        <f t="shared" si="32"/>
        <v>6.25</v>
      </c>
      <c r="BI10" s="240">
        <f t="shared" si="33"/>
        <v>4.75</v>
      </c>
      <c r="BJ10" s="240">
        <f t="shared" si="34"/>
        <v>17</v>
      </c>
      <c r="BK10" s="240">
        <f t="shared" si="35"/>
        <v>1.4677499999999999</v>
      </c>
      <c r="BL10" s="240">
        <f t="shared" si="36"/>
        <v>0.38624999999999998</v>
      </c>
      <c r="BM10" s="240">
        <f t="shared" si="37"/>
        <v>1.9312499999999999</v>
      </c>
      <c r="BN10" s="240">
        <f t="shared" si="38"/>
        <v>1.4677499999999999</v>
      </c>
      <c r="BO10" s="240">
        <f t="shared" si="39"/>
        <v>5.2529999999999992</v>
      </c>
      <c r="BP10" s="240">
        <f t="shared" si="40"/>
        <v>6.2177499999999997</v>
      </c>
      <c r="BQ10" s="240">
        <f t="shared" si="41"/>
        <v>1.63625</v>
      </c>
      <c r="BR10" s="240">
        <f t="shared" si="42"/>
        <v>8.1812500000000004</v>
      </c>
      <c r="BS10" s="240">
        <f t="shared" si="43"/>
        <v>6.2177499999999997</v>
      </c>
      <c r="BT10" s="240">
        <f t="shared" si="44"/>
        <v>22.252999999999997</v>
      </c>
    </row>
    <row r="11" spans="1:73" s="212" customFormat="1" ht="17.25" customHeight="1" x14ac:dyDescent="0.2">
      <c r="A11" s="227" t="s">
        <v>884</v>
      </c>
      <c r="B11" s="228" t="s">
        <v>879</v>
      </c>
      <c r="C11" s="249" t="s">
        <v>889</v>
      </c>
      <c r="D11" s="250" t="s">
        <v>890</v>
      </c>
      <c r="E11" s="231">
        <v>1</v>
      </c>
      <c r="F11" s="231" t="s">
        <v>882</v>
      </c>
      <c r="G11" s="232">
        <v>14</v>
      </c>
      <c r="H11" s="233">
        <v>3.36</v>
      </c>
      <c r="I11" s="234">
        <v>9100</v>
      </c>
      <c r="J11" s="235">
        <f t="shared" si="3"/>
        <v>30576</v>
      </c>
      <c r="K11" s="245"/>
      <c r="L11" s="238"/>
      <c r="M11" s="245"/>
      <c r="N11" s="238"/>
      <c r="O11" s="245"/>
      <c r="P11" s="238"/>
      <c r="Q11" s="246">
        <v>30</v>
      </c>
      <c r="R11" s="238">
        <f t="shared" si="45"/>
        <v>9172.7999999999993</v>
      </c>
      <c r="S11" s="238">
        <f t="shared" si="4"/>
        <v>31799.040000000001</v>
      </c>
      <c r="T11" s="238">
        <f t="shared" si="5"/>
        <v>31799.040000000001</v>
      </c>
      <c r="U11" s="238">
        <f t="shared" si="6"/>
        <v>103346.88</v>
      </c>
      <c r="V11" s="238">
        <f t="shared" si="7"/>
        <v>103346.88</v>
      </c>
      <c r="W11" s="238"/>
      <c r="X11" s="238"/>
      <c r="Y11" s="247"/>
      <c r="Z11" s="219">
        <f>52+10</f>
        <v>62</v>
      </c>
      <c r="AA11" s="219"/>
      <c r="AB11" s="238">
        <f t="shared" si="46"/>
        <v>8.6122399999999999</v>
      </c>
      <c r="AC11" s="240">
        <f t="shared" si="8"/>
        <v>111.95912</v>
      </c>
      <c r="AD11" s="240">
        <f t="shared" si="9"/>
        <v>111.95912</v>
      </c>
      <c r="AE11" s="240">
        <f t="shared" si="10"/>
        <v>111.95912</v>
      </c>
      <c r="AF11" s="240">
        <f t="shared" si="11"/>
        <v>111.95912</v>
      </c>
      <c r="AG11" s="240">
        <f t="shared" si="12"/>
        <v>111.95912</v>
      </c>
      <c r="AH11" s="240">
        <f t="shared" si="13"/>
        <v>111.95912</v>
      </c>
      <c r="AI11" s="240">
        <f t="shared" si="14"/>
        <v>111.95912</v>
      </c>
      <c r="AJ11" s="240">
        <f t="shared" si="15"/>
        <v>111.95912</v>
      </c>
      <c r="AK11" s="240">
        <f t="shared" si="47"/>
        <v>111.95912</v>
      </c>
      <c r="AL11" s="240">
        <f t="shared" si="16"/>
        <v>111.95912</v>
      </c>
      <c r="AM11" s="240">
        <f t="shared" si="17"/>
        <v>111.95912</v>
      </c>
      <c r="AN11" s="240">
        <f t="shared" si="18"/>
        <v>111.95912</v>
      </c>
      <c r="AO11" s="240">
        <f t="shared" si="19"/>
        <v>335.87736000000001</v>
      </c>
      <c r="AP11" s="240">
        <f t="shared" si="20"/>
        <v>335.87736000000001</v>
      </c>
      <c r="AQ11" s="240">
        <f t="shared" si="21"/>
        <v>335.87736000000001</v>
      </c>
      <c r="AR11" s="240">
        <f t="shared" si="22"/>
        <v>335.87736000000001</v>
      </c>
      <c r="AS11" s="240">
        <f t="shared" si="23"/>
        <v>1343.50944</v>
      </c>
      <c r="AT11" s="240">
        <f t="shared" si="24"/>
        <v>103.78610424</v>
      </c>
      <c r="AU11" s="240">
        <f t="shared" si="25"/>
        <v>103.78610424</v>
      </c>
      <c r="AV11" s="240">
        <f t="shared" si="26"/>
        <v>103.78610424</v>
      </c>
      <c r="AW11" s="240">
        <f t="shared" si="27"/>
        <v>103.78610424</v>
      </c>
      <c r="AX11" s="240">
        <f t="shared" si="28"/>
        <v>415.14441696</v>
      </c>
      <c r="AY11" s="224">
        <f t="shared" si="29"/>
        <v>1.25</v>
      </c>
      <c r="AZ11" s="224">
        <f t="shared" si="0"/>
        <v>3.5</v>
      </c>
      <c r="BA11" s="225">
        <f t="shared" si="1"/>
        <v>5</v>
      </c>
      <c r="BB11" s="224">
        <f t="shared" si="2"/>
        <v>3.5</v>
      </c>
      <c r="BC11" s="240"/>
      <c r="BD11" s="240"/>
      <c r="BE11" s="241"/>
      <c r="BF11" s="240">
        <f t="shared" si="30"/>
        <v>4.75</v>
      </c>
      <c r="BG11" s="240">
        <f t="shared" si="31"/>
        <v>1.25</v>
      </c>
      <c r="BH11" s="240">
        <f t="shared" si="32"/>
        <v>6.25</v>
      </c>
      <c r="BI11" s="240">
        <f t="shared" si="33"/>
        <v>4.75</v>
      </c>
      <c r="BJ11" s="240">
        <f t="shared" si="34"/>
        <v>17</v>
      </c>
      <c r="BK11" s="240">
        <f t="shared" si="35"/>
        <v>1.4677499999999999</v>
      </c>
      <c r="BL11" s="240">
        <f t="shared" si="36"/>
        <v>0.38624999999999998</v>
      </c>
      <c r="BM11" s="240">
        <f t="shared" si="37"/>
        <v>1.9312499999999999</v>
      </c>
      <c r="BN11" s="240">
        <f t="shared" si="38"/>
        <v>1.4677499999999999</v>
      </c>
      <c r="BO11" s="240">
        <f t="shared" si="39"/>
        <v>5.2529999999999992</v>
      </c>
      <c r="BP11" s="240">
        <f t="shared" si="40"/>
        <v>6.2177499999999997</v>
      </c>
      <c r="BQ11" s="240">
        <f t="shared" si="41"/>
        <v>1.63625</v>
      </c>
      <c r="BR11" s="240">
        <f t="shared" si="42"/>
        <v>8.1812500000000004</v>
      </c>
      <c r="BS11" s="240">
        <f t="shared" si="43"/>
        <v>6.2177499999999997</v>
      </c>
      <c r="BT11" s="240">
        <f t="shared" si="44"/>
        <v>22.252999999999997</v>
      </c>
    </row>
    <row r="12" spans="1:73" s="212" customFormat="1" ht="17.25" customHeight="1" x14ac:dyDescent="0.2">
      <c r="A12" s="227" t="s">
        <v>884</v>
      </c>
      <c r="B12" s="228" t="s">
        <v>879</v>
      </c>
      <c r="C12" s="229" t="s">
        <v>891</v>
      </c>
      <c r="D12" s="244" t="s">
        <v>892</v>
      </c>
      <c r="E12" s="231">
        <v>1</v>
      </c>
      <c r="F12" s="231" t="s">
        <v>882</v>
      </c>
      <c r="G12" s="232">
        <v>8</v>
      </c>
      <c r="H12" s="233">
        <v>2.02</v>
      </c>
      <c r="I12" s="234">
        <v>9100</v>
      </c>
      <c r="J12" s="235">
        <f t="shared" si="3"/>
        <v>18382</v>
      </c>
      <c r="K12" s="245"/>
      <c r="L12" s="238"/>
      <c r="M12" s="245"/>
      <c r="N12" s="238"/>
      <c r="O12" s="245"/>
      <c r="P12" s="238"/>
      <c r="Q12" s="246">
        <v>30</v>
      </c>
      <c r="R12" s="238">
        <f t="shared" si="45"/>
        <v>5514.6</v>
      </c>
      <c r="S12" s="238">
        <f t="shared" si="4"/>
        <v>19117.28</v>
      </c>
      <c r="T12" s="238">
        <f t="shared" si="5"/>
        <v>19117.28</v>
      </c>
      <c r="U12" s="238">
        <f t="shared" si="6"/>
        <v>62131.16</v>
      </c>
      <c r="V12" s="238">
        <f t="shared" si="7"/>
        <v>62131.16</v>
      </c>
      <c r="W12" s="238"/>
      <c r="X12" s="238"/>
      <c r="Y12" s="247"/>
      <c r="Z12" s="219">
        <f>52+7</f>
        <v>59</v>
      </c>
      <c r="AA12" s="219"/>
      <c r="AB12" s="238">
        <f t="shared" si="46"/>
        <v>5.1775966666666671</v>
      </c>
      <c r="AC12" s="240">
        <f t="shared" si="8"/>
        <v>67.308756666666667</v>
      </c>
      <c r="AD12" s="240">
        <f t="shared" si="9"/>
        <v>67.308756666666667</v>
      </c>
      <c r="AE12" s="240">
        <f t="shared" si="10"/>
        <v>67.308756666666667</v>
      </c>
      <c r="AF12" s="240">
        <f t="shared" si="11"/>
        <v>67.308756666666667</v>
      </c>
      <c r="AG12" s="240">
        <f t="shared" si="12"/>
        <v>67.308756666666667</v>
      </c>
      <c r="AH12" s="240">
        <f t="shared" si="13"/>
        <v>67.308756666666667</v>
      </c>
      <c r="AI12" s="240">
        <f t="shared" si="14"/>
        <v>67.308756666666667</v>
      </c>
      <c r="AJ12" s="240">
        <f t="shared" si="15"/>
        <v>67.308756666666667</v>
      </c>
      <c r="AK12" s="240">
        <f t="shared" si="47"/>
        <v>67.308756666666667</v>
      </c>
      <c r="AL12" s="240">
        <f t="shared" si="16"/>
        <v>67.308756666666667</v>
      </c>
      <c r="AM12" s="240">
        <f t="shared" si="17"/>
        <v>67.308756666666667</v>
      </c>
      <c r="AN12" s="240">
        <f t="shared" si="18"/>
        <v>67.308756666666667</v>
      </c>
      <c r="AO12" s="240">
        <f t="shared" si="19"/>
        <v>201.92626999999999</v>
      </c>
      <c r="AP12" s="240">
        <f t="shared" si="20"/>
        <v>201.92626999999999</v>
      </c>
      <c r="AQ12" s="240">
        <f t="shared" si="21"/>
        <v>201.92626999999999</v>
      </c>
      <c r="AR12" s="240">
        <f t="shared" si="22"/>
        <v>201.92626999999999</v>
      </c>
      <c r="AS12" s="240">
        <f t="shared" si="23"/>
        <v>807.70507999999995</v>
      </c>
      <c r="AT12" s="240">
        <f t="shared" si="24"/>
        <v>62.395217429999995</v>
      </c>
      <c r="AU12" s="240">
        <f t="shared" si="25"/>
        <v>62.395217429999995</v>
      </c>
      <c r="AV12" s="240">
        <f t="shared" si="26"/>
        <v>62.395217429999995</v>
      </c>
      <c r="AW12" s="240">
        <f t="shared" si="27"/>
        <v>62.395217429999995</v>
      </c>
      <c r="AX12" s="240">
        <f t="shared" si="28"/>
        <v>249.58086971999998</v>
      </c>
      <c r="AY12" s="224">
        <f t="shared" si="29"/>
        <v>1.25</v>
      </c>
      <c r="AZ12" s="224">
        <f t="shared" si="0"/>
        <v>3.5</v>
      </c>
      <c r="BA12" s="225">
        <f t="shared" si="1"/>
        <v>5</v>
      </c>
      <c r="BB12" s="224">
        <f t="shared" si="2"/>
        <v>3.5</v>
      </c>
      <c r="BC12" s="240"/>
      <c r="BD12" s="240"/>
      <c r="BE12" s="241"/>
      <c r="BF12" s="240">
        <f t="shared" si="30"/>
        <v>4.75</v>
      </c>
      <c r="BG12" s="240">
        <f t="shared" si="31"/>
        <v>1.25</v>
      </c>
      <c r="BH12" s="240">
        <f t="shared" si="32"/>
        <v>6.25</v>
      </c>
      <c r="BI12" s="240">
        <f t="shared" si="33"/>
        <v>4.75</v>
      </c>
      <c r="BJ12" s="240">
        <f t="shared" si="34"/>
        <v>17</v>
      </c>
      <c r="BK12" s="240">
        <f t="shared" si="35"/>
        <v>1.4677499999999999</v>
      </c>
      <c r="BL12" s="240">
        <f t="shared" si="36"/>
        <v>0.38624999999999998</v>
      </c>
      <c r="BM12" s="240">
        <f t="shared" si="37"/>
        <v>1.9312499999999999</v>
      </c>
      <c r="BN12" s="240">
        <f t="shared" si="38"/>
        <v>1.4677499999999999</v>
      </c>
      <c r="BO12" s="240">
        <f t="shared" si="39"/>
        <v>5.2529999999999992</v>
      </c>
      <c r="BP12" s="240">
        <f t="shared" si="40"/>
        <v>6.2177499999999997</v>
      </c>
      <c r="BQ12" s="240">
        <f t="shared" si="41"/>
        <v>1.63625</v>
      </c>
      <c r="BR12" s="240">
        <f t="shared" si="42"/>
        <v>8.1812500000000004</v>
      </c>
      <c r="BS12" s="240">
        <f t="shared" si="43"/>
        <v>6.2177499999999997</v>
      </c>
      <c r="BT12" s="240">
        <f t="shared" si="44"/>
        <v>22.252999999999997</v>
      </c>
    </row>
    <row r="13" spans="1:73" s="212" customFormat="1" ht="17.25" customHeight="1" x14ac:dyDescent="0.2">
      <c r="A13" s="227" t="s">
        <v>884</v>
      </c>
      <c r="B13" s="228" t="s">
        <v>879</v>
      </c>
      <c r="C13" s="229" t="s">
        <v>893</v>
      </c>
      <c r="D13" s="229" t="s">
        <v>894</v>
      </c>
      <c r="E13" s="231">
        <v>1</v>
      </c>
      <c r="F13" s="231" t="s">
        <v>882</v>
      </c>
      <c r="G13" s="232">
        <v>7</v>
      </c>
      <c r="H13" s="233">
        <v>1.84</v>
      </c>
      <c r="I13" s="234">
        <v>9100</v>
      </c>
      <c r="J13" s="235">
        <f t="shared" si="3"/>
        <v>16744</v>
      </c>
      <c r="K13" s="245"/>
      <c r="L13" s="238"/>
      <c r="M13" s="245"/>
      <c r="N13" s="238"/>
      <c r="O13" s="245"/>
      <c r="P13" s="238"/>
      <c r="Q13" s="246">
        <v>30</v>
      </c>
      <c r="R13" s="238">
        <f t="shared" si="45"/>
        <v>5023.2</v>
      </c>
      <c r="S13" s="238">
        <f t="shared" si="4"/>
        <v>17413.759999999998</v>
      </c>
      <c r="T13" s="238">
        <f t="shared" si="5"/>
        <v>17413.759999999998</v>
      </c>
      <c r="U13" s="238">
        <f t="shared" si="6"/>
        <v>56594.720000000001</v>
      </c>
      <c r="V13" s="238">
        <f t="shared" si="7"/>
        <v>56594.720000000001</v>
      </c>
      <c r="W13" s="238"/>
      <c r="X13" s="238"/>
      <c r="Y13" s="247"/>
      <c r="Z13" s="219">
        <f>52+7</f>
        <v>59</v>
      </c>
      <c r="AA13" s="219"/>
      <c r="AB13" s="238">
        <f t="shared" si="46"/>
        <v>4.7162266666666666</v>
      </c>
      <c r="AC13" s="240">
        <f t="shared" si="8"/>
        <v>61.310946666666666</v>
      </c>
      <c r="AD13" s="240">
        <f t="shared" si="9"/>
        <v>61.310946666666666</v>
      </c>
      <c r="AE13" s="240">
        <f t="shared" si="10"/>
        <v>61.310946666666666</v>
      </c>
      <c r="AF13" s="240">
        <f t="shared" si="11"/>
        <v>61.310946666666666</v>
      </c>
      <c r="AG13" s="240">
        <f t="shared" si="12"/>
        <v>61.310946666666666</v>
      </c>
      <c r="AH13" s="240">
        <f t="shared" si="13"/>
        <v>61.310946666666666</v>
      </c>
      <c r="AI13" s="240">
        <f t="shared" si="14"/>
        <v>61.310946666666666</v>
      </c>
      <c r="AJ13" s="240">
        <f t="shared" si="15"/>
        <v>61.310946666666666</v>
      </c>
      <c r="AK13" s="240">
        <f t="shared" si="47"/>
        <v>61.310946666666666</v>
      </c>
      <c r="AL13" s="240">
        <f t="shared" si="16"/>
        <v>61.310946666666666</v>
      </c>
      <c r="AM13" s="240">
        <f t="shared" si="17"/>
        <v>61.310946666666666</v>
      </c>
      <c r="AN13" s="240">
        <f t="shared" si="18"/>
        <v>61.310946666666666</v>
      </c>
      <c r="AO13" s="240">
        <f t="shared" si="19"/>
        <v>183.93284</v>
      </c>
      <c r="AP13" s="240">
        <f t="shared" si="20"/>
        <v>183.93284</v>
      </c>
      <c r="AQ13" s="240">
        <f t="shared" si="21"/>
        <v>183.93284</v>
      </c>
      <c r="AR13" s="240">
        <f t="shared" si="22"/>
        <v>183.93284</v>
      </c>
      <c r="AS13" s="240">
        <f t="shared" si="23"/>
        <v>735.73136</v>
      </c>
      <c r="AT13" s="240">
        <f t="shared" si="24"/>
        <v>56.835247559999999</v>
      </c>
      <c r="AU13" s="240">
        <f t="shared" si="25"/>
        <v>56.835247559999999</v>
      </c>
      <c r="AV13" s="240">
        <f t="shared" si="26"/>
        <v>56.835247559999999</v>
      </c>
      <c r="AW13" s="240">
        <f t="shared" si="27"/>
        <v>56.835247559999999</v>
      </c>
      <c r="AX13" s="240">
        <f t="shared" si="28"/>
        <v>227.34099024</v>
      </c>
      <c r="AY13" s="224">
        <f t="shared" si="29"/>
        <v>1.25</v>
      </c>
      <c r="AZ13" s="224">
        <f t="shared" si="0"/>
        <v>3.5</v>
      </c>
      <c r="BA13" s="225">
        <f t="shared" si="1"/>
        <v>5</v>
      </c>
      <c r="BB13" s="224">
        <f t="shared" si="2"/>
        <v>3.5</v>
      </c>
      <c r="BC13" s="240"/>
      <c r="BD13" s="240"/>
      <c r="BE13" s="241"/>
      <c r="BF13" s="240">
        <f t="shared" si="30"/>
        <v>4.75</v>
      </c>
      <c r="BG13" s="240">
        <f t="shared" si="31"/>
        <v>1.25</v>
      </c>
      <c r="BH13" s="240">
        <f t="shared" si="32"/>
        <v>6.25</v>
      </c>
      <c r="BI13" s="240">
        <f t="shared" si="33"/>
        <v>4.75</v>
      </c>
      <c r="BJ13" s="240">
        <f t="shared" si="34"/>
        <v>17</v>
      </c>
      <c r="BK13" s="240">
        <f t="shared" si="35"/>
        <v>1.4677499999999999</v>
      </c>
      <c r="BL13" s="240">
        <f t="shared" si="36"/>
        <v>0.38624999999999998</v>
      </c>
      <c r="BM13" s="240">
        <f t="shared" si="37"/>
        <v>1.9312499999999999</v>
      </c>
      <c r="BN13" s="240">
        <f t="shared" si="38"/>
        <v>1.4677499999999999</v>
      </c>
      <c r="BO13" s="240">
        <f t="shared" si="39"/>
        <v>5.2529999999999992</v>
      </c>
      <c r="BP13" s="240">
        <f t="shared" si="40"/>
        <v>6.2177499999999997</v>
      </c>
      <c r="BQ13" s="240">
        <f t="shared" si="41"/>
        <v>1.63625</v>
      </c>
      <c r="BR13" s="240">
        <f t="shared" si="42"/>
        <v>8.1812500000000004</v>
      </c>
      <c r="BS13" s="240">
        <f t="shared" si="43"/>
        <v>6.2177499999999997</v>
      </c>
      <c r="BT13" s="240">
        <f t="shared" si="44"/>
        <v>22.252999999999997</v>
      </c>
    </row>
    <row r="14" spans="1:73" s="212" customFormat="1" ht="24" customHeight="1" x14ac:dyDescent="0.2">
      <c r="A14" s="227" t="s">
        <v>884</v>
      </c>
      <c r="B14" s="228" t="s">
        <v>879</v>
      </c>
      <c r="C14" s="229" t="s">
        <v>895</v>
      </c>
      <c r="D14" s="244" t="s">
        <v>896</v>
      </c>
      <c r="E14" s="231">
        <v>1</v>
      </c>
      <c r="F14" s="231" t="s">
        <v>882</v>
      </c>
      <c r="G14" s="232">
        <v>6</v>
      </c>
      <c r="H14" s="233">
        <v>1.67</v>
      </c>
      <c r="I14" s="234">
        <v>9100</v>
      </c>
      <c r="J14" s="235">
        <f t="shared" si="3"/>
        <v>15197</v>
      </c>
      <c r="K14" s="245"/>
      <c r="L14" s="238"/>
      <c r="M14" s="245"/>
      <c r="N14" s="238"/>
      <c r="O14" s="245"/>
      <c r="P14" s="238"/>
      <c r="Q14" s="246">
        <v>30</v>
      </c>
      <c r="R14" s="238">
        <f t="shared" si="45"/>
        <v>4559.1000000000004</v>
      </c>
      <c r="S14" s="238">
        <f t="shared" si="4"/>
        <v>15804.88</v>
      </c>
      <c r="T14" s="238">
        <f t="shared" si="5"/>
        <v>15804.88</v>
      </c>
      <c r="U14" s="238">
        <f t="shared" si="6"/>
        <v>51365.86</v>
      </c>
      <c r="V14" s="238">
        <f t="shared" si="7"/>
        <v>51365.86</v>
      </c>
      <c r="W14" s="238">
        <f>V14*0.5</f>
        <v>25682.93</v>
      </c>
      <c r="X14" s="238"/>
      <c r="Y14" s="247"/>
      <c r="Z14" s="219">
        <f>52+7</f>
        <v>59</v>
      </c>
      <c r="AA14" s="219"/>
      <c r="AB14" s="238">
        <f>W14/12/1000</f>
        <v>2.1402441666666667</v>
      </c>
      <c r="AC14" s="240">
        <f>W14/1000+AB14</f>
        <v>27.823174166666664</v>
      </c>
      <c r="AD14" s="240">
        <f>W14/1000+AB14</f>
        <v>27.823174166666664</v>
      </c>
      <c r="AE14" s="240">
        <f>W14/1000+AB14</f>
        <v>27.823174166666664</v>
      </c>
      <c r="AF14" s="240">
        <f>W14/1000+AB14</f>
        <v>27.823174166666664</v>
      </c>
      <c r="AG14" s="240">
        <f>W14/1000+AB14</f>
        <v>27.823174166666664</v>
      </c>
      <c r="AH14" s="240">
        <f>W14/1000+AB14</f>
        <v>27.823174166666664</v>
      </c>
      <c r="AI14" s="240">
        <f>W14/1000+AB14</f>
        <v>27.823174166666664</v>
      </c>
      <c r="AJ14" s="240">
        <f>W14/1000+AB14</f>
        <v>27.823174166666664</v>
      </c>
      <c r="AK14" s="240">
        <f>W14/1000+AB14</f>
        <v>27.823174166666664</v>
      </c>
      <c r="AL14" s="240">
        <f>W14/1000+AB14</f>
        <v>27.823174166666664</v>
      </c>
      <c r="AM14" s="240">
        <f>W14/1000+AB14</f>
        <v>27.823174166666664</v>
      </c>
      <c r="AN14" s="240">
        <f>W14/1000+AB14</f>
        <v>27.823174166666664</v>
      </c>
      <c r="AO14" s="240">
        <f t="shared" si="19"/>
        <v>83.469522499999997</v>
      </c>
      <c r="AP14" s="240">
        <f t="shared" si="20"/>
        <v>83.469522499999997</v>
      </c>
      <c r="AQ14" s="240">
        <f t="shared" si="21"/>
        <v>83.469522499999997</v>
      </c>
      <c r="AR14" s="240">
        <f t="shared" si="22"/>
        <v>83.469522499999997</v>
      </c>
      <c r="AS14" s="240">
        <f t="shared" si="23"/>
        <v>333.87808999999999</v>
      </c>
      <c r="AT14" s="240">
        <f t="shared" si="24"/>
        <v>25.792082452499997</v>
      </c>
      <c r="AU14" s="240">
        <f t="shared" si="25"/>
        <v>25.792082452499997</v>
      </c>
      <c r="AV14" s="240">
        <f t="shared" si="26"/>
        <v>25.792082452499997</v>
      </c>
      <c r="AW14" s="240">
        <f t="shared" si="27"/>
        <v>25.792082452499997</v>
      </c>
      <c r="AX14" s="240">
        <f t="shared" si="28"/>
        <v>103.16832980999999</v>
      </c>
      <c r="AY14" s="224"/>
      <c r="AZ14" s="224"/>
      <c r="BA14" s="225"/>
      <c r="BB14" s="224"/>
      <c r="BC14" s="240"/>
      <c r="BD14" s="240"/>
      <c r="BE14" s="241"/>
      <c r="BF14" s="240">
        <f t="shared" si="30"/>
        <v>0</v>
      </c>
      <c r="BG14" s="240">
        <f t="shared" si="31"/>
        <v>0</v>
      </c>
      <c r="BH14" s="240">
        <f t="shared" si="32"/>
        <v>0</v>
      </c>
      <c r="BI14" s="240">
        <f t="shared" si="33"/>
        <v>0</v>
      </c>
      <c r="BJ14" s="240">
        <f t="shared" si="34"/>
        <v>0</v>
      </c>
      <c r="BK14" s="240">
        <f t="shared" si="35"/>
        <v>0</v>
      </c>
      <c r="BL14" s="240">
        <f t="shared" si="36"/>
        <v>0</v>
      </c>
      <c r="BM14" s="240">
        <f t="shared" si="37"/>
        <v>0</v>
      </c>
      <c r="BN14" s="240">
        <f t="shared" si="38"/>
        <v>0</v>
      </c>
      <c r="BO14" s="240">
        <f t="shared" si="39"/>
        <v>0</v>
      </c>
      <c r="BP14" s="240">
        <f t="shared" si="40"/>
        <v>0</v>
      </c>
      <c r="BQ14" s="240">
        <f t="shared" si="41"/>
        <v>0</v>
      </c>
      <c r="BR14" s="240">
        <f t="shared" si="42"/>
        <v>0</v>
      </c>
      <c r="BS14" s="240">
        <f t="shared" si="43"/>
        <v>0</v>
      </c>
      <c r="BT14" s="240">
        <f t="shared" si="44"/>
        <v>0</v>
      </c>
    </row>
    <row r="15" spans="1:73" s="212" customFormat="1" ht="17.25" customHeight="1" x14ac:dyDescent="0.2">
      <c r="A15" s="227" t="s">
        <v>884</v>
      </c>
      <c r="B15" s="228" t="s">
        <v>879</v>
      </c>
      <c r="C15" s="229" t="s">
        <v>897</v>
      </c>
      <c r="D15" s="229" t="s">
        <v>898</v>
      </c>
      <c r="E15" s="231">
        <v>1</v>
      </c>
      <c r="F15" s="231" t="s">
        <v>882</v>
      </c>
      <c r="G15" s="232">
        <v>6</v>
      </c>
      <c r="H15" s="233">
        <v>1.67</v>
      </c>
      <c r="I15" s="234">
        <v>9100</v>
      </c>
      <c r="J15" s="235">
        <f t="shared" si="3"/>
        <v>15197</v>
      </c>
      <c r="K15" s="245"/>
      <c r="L15" s="238"/>
      <c r="M15" s="245"/>
      <c r="N15" s="238"/>
      <c r="O15" s="245"/>
      <c r="P15" s="238"/>
      <c r="Q15" s="246">
        <v>30</v>
      </c>
      <c r="R15" s="238">
        <f t="shared" si="45"/>
        <v>4559.1000000000004</v>
      </c>
      <c r="S15" s="238">
        <f t="shared" si="4"/>
        <v>15804.88</v>
      </c>
      <c r="T15" s="238">
        <f t="shared" si="5"/>
        <v>15804.88</v>
      </c>
      <c r="U15" s="238">
        <f t="shared" si="6"/>
        <v>51365.86</v>
      </c>
      <c r="V15" s="238">
        <f t="shared" si="7"/>
        <v>51365.86</v>
      </c>
      <c r="W15" s="238"/>
      <c r="X15" s="238"/>
      <c r="Y15" s="247"/>
      <c r="Z15" s="219">
        <f>52+7</f>
        <v>59</v>
      </c>
      <c r="AA15" s="219"/>
      <c r="AB15" s="238">
        <f>V15/12/1000</f>
        <v>4.2804883333333335</v>
      </c>
      <c r="AC15" s="240">
        <f>V15/1000+AB15</f>
        <v>55.646348333333329</v>
      </c>
      <c r="AD15" s="240">
        <f>V15/1000+AB15</f>
        <v>55.646348333333329</v>
      </c>
      <c r="AE15" s="240">
        <f>V15/1000+AB15</f>
        <v>55.646348333333329</v>
      </c>
      <c r="AF15" s="240">
        <f>V15/1000+AB15</f>
        <v>55.646348333333329</v>
      </c>
      <c r="AG15" s="240">
        <f>V15/1000+AB15</f>
        <v>55.646348333333329</v>
      </c>
      <c r="AH15" s="240">
        <f>V15/1000+AB15</f>
        <v>55.646348333333329</v>
      </c>
      <c r="AI15" s="240">
        <f>V15/1000+AB15</f>
        <v>55.646348333333329</v>
      </c>
      <c r="AJ15" s="240">
        <f>V15/1000+AB15</f>
        <v>55.646348333333329</v>
      </c>
      <c r="AK15" s="240">
        <f>V15/1000+AB15</f>
        <v>55.646348333333329</v>
      </c>
      <c r="AL15" s="240">
        <f>V15/1000+AB15</f>
        <v>55.646348333333329</v>
      </c>
      <c r="AM15" s="240">
        <f>V15/1000+AB15</f>
        <v>55.646348333333329</v>
      </c>
      <c r="AN15" s="240">
        <f>V15/1000+AB15</f>
        <v>55.646348333333329</v>
      </c>
      <c r="AO15" s="240">
        <f t="shared" si="19"/>
        <v>166.93904499999999</v>
      </c>
      <c r="AP15" s="240">
        <f t="shared" si="20"/>
        <v>166.93904499999999</v>
      </c>
      <c r="AQ15" s="240">
        <f t="shared" si="21"/>
        <v>166.93904499999999</v>
      </c>
      <c r="AR15" s="240">
        <f t="shared" si="22"/>
        <v>166.93904499999999</v>
      </c>
      <c r="AS15" s="240">
        <f t="shared" si="23"/>
        <v>667.75617999999997</v>
      </c>
      <c r="AT15" s="240">
        <f t="shared" si="24"/>
        <v>51.584164904999994</v>
      </c>
      <c r="AU15" s="240">
        <f t="shared" si="25"/>
        <v>51.584164904999994</v>
      </c>
      <c r="AV15" s="240">
        <f t="shared" si="26"/>
        <v>51.584164904999994</v>
      </c>
      <c r="AW15" s="240">
        <f t="shared" si="27"/>
        <v>51.584164904999994</v>
      </c>
      <c r="AX15" s="240">
        <f t="shared" si="28"/>
        <v>206.33665961999998</v>
      </c>
      <c r="AY15" s="224">
        <f>5000/1000/4</f>
        <v>1.25</v>
      </c>
      <c r="AZ15" s="224">
        <f>3500/1000</f>
        <v>3.5</v>
      </c>
      <c r="BA15" s="225">
        <f>5000/1000</f>
        <v>5</v>
      </c>
      <c r="BB15" s="224">
        <f>3500/1000</f>
        <v>3.5</v>
      </c>
      <c r="BC15" s="240"/>
      <c r="BD15" s="240"/>
      <c r="BE15" s="241"/>
      <c r="BF15" s="240">
        <f t="shared" si="30"/>
        <v>4.75</v>
      </c>
      <c r="BG15" s="240">
        <f t="shared" si="31"/>
        <v>1.25</v>
      </c>
      <c r="BH15" s="240">
        <f t="shared" si="32"/>
        <v>6.25</v>
      </c>
      <c r="BI15" s="240">
        <f t="shared" si="33"/>
        <v>4.75</v>
      </c>
      <c r="BJ15" s="240">
        <f t="shared" si="34"/>
        <v>17</v>
      </c>
      <c r="BK15" s="240">
        <f t="shared" si="35"/>
        <v>1.4677499999999999</v>
      </c>
      <c r="BL15" s="240">
        <f t="shared" si="36"/>
        <v>0.38624999999999998</v>
      </c>
      <c r="BM15" s="240">
        <f t="shared" si="37"/>
        <v>1.9312499999999999</v>
      </c>
      <c r="BN15" s="240">
        <f t="shared" si="38"/>
        <v>1.4677499999999999</v>
      </c>
      <c r="BO15" s="240">
        <f t="shared" si="39"/>
        <v>5.2529999999999992</v>
      </c>
      <c r="BP15" s="240">
        <f t="shared" si="40"/>
        <v>6.2177499999999997</v>
      </c>
      <c r="BQ15" s="240">
        <f t="shared" si="41"/>
        <v>1.63625</v>
      </c>
      <c r="BR15" s="240">
        <f t="shared" si="42"/>
        <v>8.1812500000000004</v>
      </c>
      <c r="BS15" s="240">
        <f t="shared" si="43"/>
        <v>6.2177499999999997</v>
      </c>
      <c r="BT15" s="240">
        <f t="shared" si="44"/>
        <v>22.252999999999997</v>
      </c>
    </row>
    <row r="16" spans="1:73" s="212" customFormat="1" ht="24.75" customHeight="1" x14ac:dyDescent="0.2">
      <c r="A16" s="227" t="s">
        <v>884</v>
      </c>
      <c r="B16" s="228" t="s">
        <v>879</v>
      </c>
      <c r="C16" s="229" t="s">
        <v>899</v>
      </c>
      <c r="D16" s="248" t="s">
        <v>900</v>
      </c>
      <c r="E16" s="231">
        <v>1</v>
      </c>
      <c r="F16" s="231" t="s">
        <v>882</v>
      </c>
      <c r="G16" s="232">
        <v>6</v>
      </c>
      <c r="H16" s="233">
        <v>1.67</v>
      </c>
      <c r="I16" s="234">
        <v>9100</v>
      </c>
      <c r="J16" s="235">
        <f t="shared" si="3"/>
        <v>15197</v>
      </c>
      <c r="K16" s="245"/>
      <c r="L16" s="238"/>
      <c r="M16" s="245"/>
      <c r="N16" s="238"/>
      <c r="O16" s="245"/>
      <c r="P16" s="238"/>
      <c r="Q16" s="246">
        <v>30</v>
      </c>
      <c r="R16" s="238">
        <f t="shared" si="45"/>
        <v>4559.1000000000004</v>
      </c>
      <c r="S16" s="238">
        <f t="shared" si="4"/>
        <v>15804.88</v>
      </c>
      <c r="T16" s="238">
        <f t="shared" si="5"/>
        <v>15804.88</v>
      </c>
      <c r="U16" s="238">
        <f t="shared" si="6"/>
        <v>51365.86</v>
      </c>
      <c r="V16" s="238">
        <f t="shared" si="7"/>
        <v>51365.86</v>
      </c>
      <c r="W16" s="238"/>
      <c r="X16" s="238"/>
      <c r="Y16" s="247"/>
      <c r="Z16" s="219">
        <f>52+7</f>
        <v>59</v>
      </c>
      <c r="AA16" s="219"/>
      <c r="AB16" s="238">
        <f>V16/12/1000</f>
        <v>4.2804883333333335</v>
      </c>
      <c r="AC16" s="240">
        <f>V16/1000+AB16</f>
        <v>55.646348333333329</v>
      </c>
      <c r="AD16" s="240">
        <f>V16/1000+AB16</f>
        <v>55.646348333333329</v>
      </c>
      <c r="AE16" s="240">
        <f>V16/1000+AB16</f>
        <v>55.646348333333329</v>
      </c>
      <c r="AF16" s="240">
        <f>V16/1000+AB16</f>
        <v>55.646348333333329</v>
      </c>
      <c r="AG16" s="240">
        <f>V16/1000+AB16</f>
        <v>55.646348333333329</v>
      </c>
      <c r="AH16" s="240">
        <f>V16/1000+AB16</f>
        <v>55.646348333333329</v>
      </c>
      <c r="AI16" s="240">
        <f>V16/1000+AB16</f>
        <v>55.646348333333329</v>
      </c>
      <c r="AJ16" s="240">
        <f>V16/1000+AB16</f>
        <v>55.646348333333329</v>
      </c>
      <c r="AK16" s="240">
        <f>V16/1000+AB16</f>
        <v>55.646348333333329</v>
      </c>
      <c r="AL16" s="240">
        <f>V16/1000+AB16</f>
        <v>55.646348333333329</v>
      </c>
      <c r="AM16" s="240">
        <f>V16/1000+AB16</f>
        <v>55.646348333333329</v>
      </c>
      <c r="AN16" s="240">
        <f>V16/1000+AB16</f>
        <v>55.646348333333329</v>
      </c>
      <c r="AO16" s="240">
        <f t="shared" si="19"/>
        <v>166.93904499999999</v>
      </c>
      <c r="AP16" s="240">
        <f t="shared" si="20"/>
        <v>166.93904499999999</v>
      </c>
      <c r="AQ16" s="240">
        <f t="shared" si="21"/>
        <v>166.93904499999999</v>
      </c>
      <c r="AR16" s="240">
        <f t="shared" si="22"/>
        <v>166.93904499999999</v>
      </c>
      <c r="AS16" s="240">
        <f t="shared" si="23"/>
        <v>667.75617999999997</v>
      </c>
      <c r="AT16" s="240">
        <f t="shared" si="24"/>
        <v>51.584164904999994</v>
      </c>
      <c r="AU16" s="240">
        <f t="shared" si="25"/>
        <v>51.584164904999994</v>
      </c>
      <c r="AV16" s="240">
        <f t="shared" si="26"/>
        <v>51.584164904999994</v>
      </c>
      <c r="AW16" s="240">
        <f t="shared" si="27"/>
        <v>51.584164904999994</v>
      </c>
      <c r="AX16" s="240">
        <f t="shared" si="28"/>
        <v>206.33665961999998</v>
      </c>
      <c r="AY16" s="224">
        <f>5000/1000/4</f>
        <v>1.25</v>
      </c>
      <c r="AZ16" s="224">
        <f>3500/1000</f>
        <v>3.5</v>
      </c>
      <c r="BA16" s="225">
        <f>5000/1000</f>
        <v>5</v>
      </c>
      <c r="BB16" s="224">
        <f>3500/1000</f>
        <v>3.5</v>
      </c>
      <c r="BC16" s="240"/>
      <c r="BD16" s="240"/>
      <c r="BE16" s="241"/>
      <c r="BF16" s="240">
        <f t="shared" si="30"/>
        <v>4.75</v>
      </c>
      <c r="BG16" s="240">
        <f t="shared" si="31"/>
        <v>1.25</v>
      </c>
      <c r="BH16" s="240">
        <f t="shared" si="32"/>
        <v>6.25</v>
      </c>
      <c r="BI16" s="240">
        <f t="shared" si="33"/>
        <v>4.75</v>
      </c>
      <c r="BJ16" s="240">
        <f t="shared" si="34"/>
        <v>17</v>
      </c>
      <c r="BK16" s="240">
        <f t="shared" si="35"/>
        <v>1.4677499999999999</v>
      </c>
      <c r="BL16" s="240">
        <f t="shared" si="36"/>
        <v>0.38624999999999998</v>
      </c>
      <c r="BM16" s="240">
        <f t="shared" si="37"/>
        <v>1.9312499999999999</v>
      </c>
      <c r="BN16" s="240">
        <f t="shared" si="38"/>
        <v>1.4677499999999999</v>
      </c>
      <c r="BO16" s="240">
        <f t="shared" si="39"/>
        <v>5.2529999999999992</v>
      </c>
      <c r="BP16" s="240">
        <f t="shared" si="40"/>
        <v>6.2177499999999997</v>
      </c>
      <c r="BQ16" s="240">
        <f t="shared" si="41"/>
        <v>1.63625</v>
      </c>
      <c r="BR16" s="240">
        <f t="shared" si="42"/>
        <v>8.1812500000000004</v>
      </c>
      <c r="BS16" s="240">
        <f t="shared" si="43"/>
        <v>6.2177499999999997</v>
      </c>
      <c r="BT16" s="240">
        <f t="shared" si="44"/>
        <v>22.252999999999997</v>
      </c>
    </row>
    <row r="17" spans="1:72" s="212" customFormat="1" ht="24" customHeight="1" x14ac:dyDescent="0.2">
      <c r="A17" s="227" t="s">
        <v>884</v>
      </c>
      <c r="B17" s="228" t="s">
        <v>879</v>
      </c>
      <c r="C17" s="229" t="s">
        <v>899</v>
      </c>
      <c r="D17" s="251" t="s">
        <v>901</v>
      </c>
      <c r="E17" s="231"/>
      <c r="F17" s="231"/>
      <c r="G17" s="232"/>
      <c r="H17" s="233"/>
      <c r="I17" s="234"/>
      <c r="J17" s="235"/>
      <c r="K17" s="245"/>
      <c r="L17" s="238"/>
      <c r="M17" s="245"/>
      <c r="N17" s="238"/>
      <c r="O17" s="245"/>
      <c r="P17" s="238"/>
      <c r="Q17" s="246"/>
      <c r="R17" s="238"/>
      <c r="S17" s="238"/>
      <c r="T17" s="238"/>
      <c r="U17" s="238"/>
      <c r="V17" s="238"/>
      <c r="W17" s="252">
        <v>90</v>
      </c>
      <c r="X17" s="252"/>
      <c r="Y17" s="253" t="s">
        <v>902</v>
      </c>
      <c r="Z17" s="254"/>
      <c r="AA17" s="254"/>
      <c r="AB17" s="252"/>
      <c r="AC17" s="240">
        <f>W17/1000</f>
        <v>0.09</v>
      </c>
      <c r="AD17" s="240">
        <f>W17/1000</f>
        <v>0.09</v>
      </c>
      <c r="AE17" s="240">
        <f>W17/1000</f>
        <v>0.09</v>
      </c>
      <c r="AF17" s="240">
        <f>W17/1000</f>
        <v>0.09</v>
      </c>
      <c r="AG17" s="240">
        <f>W17/1000</f>
        <v>0.09</v>
      </c>
      <c r="AH17" s="240">
        <f>W17/1000</f>
        <v>0.09</v>
      </c>
      <c r="AI17" s="240">
        <f>W17/1000</f>
        <v>0.09</v>
      </c>
      <c r="AJ17" s="240">
        <f>W17/1000</f>
        <v>0.09</v>
      </c>
      <c r="AK17" s="240">
        <f>W17/1000</f>
        <v>0.09</v>
      </c>
      <c r="AL17" s="240">
        <f>W17/1000</f>
        <v>0.09</v>
      </c>
      <c r="AM17" s="240">
        <f>W17/1000</f>
        <v>0.09</v>
      </c>
      <c r="AN17" s="240">
        <f>W17/1000</f>
        <v>0.09</v>
      </c>
      <c r="AO17" s="240">
        <f t="shared" si="19"/>
        <v>0.27</v>
      </c>
      <c r="AP17" s="240">
        <f t="shared" si="20"/>
        <v>0.27</v>
      </c>
      <c r="AQ17" s="240">
        <f t="shared" si="21"/>
        <v>0.27</v>
      </c>
      <c r="AR17" s="240">
        <f t="shared" si="22"/>
        <v>0.27</v>
      </c>
      <c r="AS17" s="240">
        <f t="shared" si="23"/>
        <v>1.08</v>
      </c>
      <c r="AT17" s="240"/>
      <c r="AU17" s="240"/>
      <c r="AV17" s="240"/>
      <c r="AW17" s="240"/>
      <c r="AX17" s="240"/>
      <c r="AY17" s="224"/>
      <c r="AZ17" s="224"/>
      <c r="BA17" s="225"/>
      <c r="BB17" s="224"/>
      <c r="BC17" s="240"/>
      <c r="BD17" s="240"/>
      <c r="BE17" s="241"/>
      <c r="BF17" s="240">
        <f t="shared" si="30"/>
        <v>0</v>
      </c>
      <c r="BG17" s="240">
        <f t="shared" si="31"/>
        <v>0</v>
      </c>
      <c r="BH17" s="240">
        <f t="shared" si="32"/>
        <v>0</v>
      </c>
      <c r="BI17" s="240">
        <f t="shared" si="33"/>
        <v>0</v>
      </c>
      <c r="BJ17" s="240">
        <f t="shared" si="34"/>
        <v>0</v>
      </c>
      <c r="BK17" s="240">
        <f t="shared" si="35"/>
        <v>0</v>
      </c>
      <c r="BL17" s="240">
        <f t="shared" si="36"/>
        <v>0</v>
      </c>
      <c r="BM17" s="240">
        <f t="shared" si="37"/>
        <v>0</v>
      </c>
      <c r="BN17" s="240">
        <f t="shared" si="38"/>
        <v>0</v>
      </c>
      <c r="BO17" s="240">
        <f t="shared" si="39"/>
        <v>0</v>
      </c>
      <c r="BP17" s="240">
        <f t="shared" si="40"/>
        <v>0</v>
      </c>
      <c r="BQ17" s="240">
        <f t="shared" si="41"/>
        <v>0</v>
      </c>
      <c r="BR17" s="240">
        <f t="shared" si="42"/>
        <v>0</v>
      </c>
      <c r="BS17" s="240">
        <f t="shared" si="43"/>
        <v>0</v>
      </c>
      <c r="BT17" s="240">
        <f t="shared" si="44"/>
        <v>0</v>
      </c>
    </row>
    <row r="18" spans="1:72" s="212" customFormat="1" ht="42.75" customHeight="1" x14ac:dyDescent="0.2">
      <c r="A18" s="227" t="s">
        <v>884</v>
      </c>
      <c r="B18" s="228" t="s">
        <v>879</v>
      </c>
      <c r="C18" s="229" t="s">
        <v>903</v>
      </c>
      <c r="D18" s="255" t="s">
        <v>904</v>
      </c>
      <c r="E18" s="231">
        <v>0.5</v>
      </c>
      <c r="F18" s="231" t="s">
        <v>882</v>
      </c>
      <c r="G18" s="256">
        <v>6</v>
      </c>
      <c r="H18" s="233">
        <v>1.67</v>
      </c>
      <c r="I18" s="234">
        <v>9100</v>
      </c>
      <c r="J18" s="235">
        <f>ROUND(H18*I18, 2)</f>
        <v>15197</v>
      </c>
      <c r="K18" s="245"/>
      <c r="L18" s="238"/>
      <c r="M18" s="245"/>
      <c r="N18" s="238"/>
      <c r="O18" s="245"/>
      <c r="P18" s="238"/>
      <c r="Q18" s="246">
        <v>30</v>
      </c>
      <c r="R18" s="238">
        <f>ROUND((J18+L18+N18+P18)*Q18%, 2)</f>
        <v>4559.1000000000004</v>
      </c>
      <c r="S18" s="238">
        <f>ROUND((J18+L18+N18+P18+R18)*0.8, 2)</f>
        <v>15804.88</v>
      </c>
      <c r="T18" s="238">
        <f>ROUND((J18+L18+N18+P18+R18)*0.8, 2)</f>
        <v>15804.88</v>
      </c>
      <c r="U18" s="238">
        <f>ROUND((J18+L18+N18+P18+R18+S18+T18)*E18, 2)</f>
        <v>25682.93</v>
      </c>
      <c r="V18" s="238">
        <f>U18</f>
        <v>25682.93</v>
      </c>
      <c r="W18" s="238">
        <f>V12*0.4</f>
        <v>24852.464000000004</v>
      </c>
      <c r="X18" s="238"/>
      <c r="Y18" s="247"/>
      <c r="Z18" s="219">
        <f>52+7</f>
        <v>59</v>
      </c>
      <c r="AA18" s="219"/>
      <c r="AB18" s="238">
        <f>W18/12/1000</f>
        <v>2.0710386666666669</v>
      </c>
      <c r="AC18" s="240">
        <f>W18/1000+AB18</f>
        <v>26.923502666666671</v>
      </c>
      <c r="AD18" s="240">
        <f>W18/1000+AB18</f>
        <v>26.923502666666671</v>
      </c>
      <c r="AE18" s="240">
        <f>W18/1000+AB18</f>
        <v>26.923502666666671</v>
      </c>
      <c r="AF18" s="240">
        <f>W18/1000+AB18</f>
        <v>26.923502666666671</v>
      </c>
      <c r="AG18" s="240">
        <f>W18/1000+AB18</f>
        <v>26.923502666666671</v>
      </c>
      <c r="AH18" s="240">
        <f>W18/1000+AB18</f>
        <v>26.923502666666671</v>
      </c>
      <c r="AI18" s="240">
        <f>W18/1000+AB18</f>
        <v>26.923502666666671</v>
      </c>
      <c r="AJ18" s="240">
        <f>W18/1000+AB18</f>
        <v>26.923502666666671</v>
      </c>
      <c r="AK18" s="240">
        <f>W18/1000+AB18</f>
        <v>26.923502666666671</v>
      </c>
      <c r="AL18" s="240">
        <f>W18/1000+AB18</f>
        <v>26.923502666666671</v>
      </c>
      <c r="AM18" s="240">
        <f>W18/1000+AB18</f>
        <v>26.923502666666671</v>
      </c>
      <c r="AN18" s="240">
        <f>W18/1000+AB18</f>
        <v>26.923502666666671</v>
      </c>
      <c r="AO18" s="240">
        <f t="shared" si="19"/>
        <v>80.770508000000007</v>
      </c>
      <c r="AP18" s="240">
        <f t="shared" si="20"/>
        <v>80.770508000000007</v>
      </c>
      <c r="AQ18" s="240">
        <f t="shared" si="21"/>
        <v>80.770508000000007</v>
      </c>
      <c r="AR18" s="240">
        <f t="shared" si="22"/>
        <v>80.770508000000007</v>
      </c>
      <c r="AS18" s="240">
        <f t="shared" si="23"/>
        <v>323.08203200000003</v>
      </c>
      <c r="AT18" s="240">
        <f t="shared" ref="AT18:AW21" si="48">AO18*0.309</f>
        <v>24.958086972</v>
      </c>
      <c r="AU18" s="240">
        <f t="shared" si="48"/>
        <v>24.958086972</v>
      </c>
      <c r="AV18" s="240">
        <f t="shared" si="48"/>
        <v>24.958086972</v>
      </c>
      <c r="AW18" s="240">
        <f t="shared" si="48"/>
        <v>24.958086972</v>
      </c>
      <c r="AX18" s="240">
        <f>SUM(AT18:AW18)</f>
        <v>99.832347888000001</v>
      </c>
      <c r="AY18" s="224"/>
      <c r="AZ18" s="224"/>
      <c r="BA18" s="225"/>
      <c r="BB18" s="224"/>
      <c r="BC18" s="240"/>
      <c r="BD18" s="240"/>
      <c r="BE18" s="241"/>
      <c r="BF18" s="240">
        <f t="shared" si="30"/>
        <v>0</v>
      </c>
      <c r="BG18" s="240">
        <f t="shared" si="31"/>
        <v>0</v>
      </c>
      <c r="BH18" s="240">
        <f t="shared" si="32"/>
        <v>0</v>
      </c>
      <c r="BI18" s="240">
        <f t="shared" si="33"/>
        <v>0</v>
      </c>
      <c r="BJ18" s="240">
        <f t="shared" si="34"/>
        <v>0</v>
      </c>
      <c r="BK18" s="240">
        <f t="shared" si="35"/>
        <v>0</v>
      </c>
      <c r="BL18" s="240">
        <f t="shared" si="36"/>
        <v>0</v>
      </c>
      <c r="BM18" s="240">
        <f t="shared" si="37"/>
        <v>0</v>
      </c>
      <c r="BN18" s="240">
        <f t="shared" si="38"/>
        <v>0</v>
      </c>
      <c r="BO18" s="240">
        <f t="shared" si="39"/>
        <v>0</v>
      </c>
      <c r="BP18" s="240">
        <f t="shared" si="40"/>
        <v>0</v>
      </c>
      <c r="BQ18" s="240">
        <f t="shared" si="41"/>
        <v>0</v>
      </c>
      <c r="BR18" s="240">
        <f t="shared" si="42"/>
        <v>0</v>
      </c>
      <c r="BS18" s="240">
        <f t="shared" si="43"/>
        <v>0</v>
      </c>
      <c r="BT18" s="240">
        <f t="shared" si="44"/>
        <v>0</v>
      </c>
    </row>
    <row r="19" spans="1:72" s="212" customFormat="1" ht="34.5" customHeight="1" x14ac:dyDescent="0.2">
      <c r="A19" s="227" t="s">
        <v>884</v>
      </c>
      <c r="B19" s="228" t="s">
        <v>879</v>
      </c>
      <c r="C19" s="229" t="s">
        <v>905</v>
      </c>
      <c r="D19" s="257" t="s">
        <v>906</v>
      </c>
      <c r="E19" s="231">
        <v>0.5</v>
      </c>
      <c r="F19" s="231" t="s">
        <v>882</v>
      </c>
      <c r="G19" s="232">
        <v>5</v>
      </c>
      <c r="H19" s="233">
        <v>1.51</v>
      </c>
      <c r="I19" s="234">
        <v>9100</v>
      </c>
      <c r="J19" s="235">
        <f>ROUND(H19*I19, 2)</f>
        <v>13741</v>
      </c>
      <c r="K19" s="245"/>
      <c r="L19" s="238"/>
      <c r="M19" s="245"/>
      <c r="N19" s="238"/>
      <c r="O19" s="245"/>
      <c r="P19" s="238"/>
      <c r="Q19" s="246">
        <v>25</v>
      </c>
      <c r="R19" s="238">
        <f>ROUND((J19+L19+N19+P19)*Q19%, 2)</f>
        <v>3435.25</v>
      </c>
      <c r="S19" s="238">
        <f>ROUND((J19+L19+N19+P19+R19)*0.8, 2)</f>
        <v>13741</v>
      </c>
      <c r="T19" s="238">
        <f>ROUND((J19+L19+N19+P19+R19)*0.8, 2)</f>
        <v>13741</v>
      </c>
      <c r="U19" s="238">
        <f>ROUND((J19+L19+N19+P19+R19+S19+T19)*E19, 2)</f>
        <v>22329.13</v>
      </c>
      <c r="V19" s="238">
        <f>U19</f>
        <v>22329.13</v>
      </c>
      <c r="W19" s="238"/>
      <c r="X19" s="238"/>
      <c r="Y19" s="247"/>
      <c r="Z19" s="219">
        <f>52+3</f>
        <v>55</v>
      </c>
      <c r="AA19" s="219"/>
      <c r="AB19" s="238">
        <f>V19/12/1000</f>
        <v>1.8607608333333334</v>
      </c>
      <c r="AC19" s="240">
        <f>V19/1000+AB19</f>
        <v>24.189890833333333</v>
      </c>
      <c r="AD19" s="240">
        <f>V19/1000+AB19</f>
        <v>24.189890833333333</v>
      </c>
      <c r="AE19" s="240">
        <f>V19/1000+AB19</f>
        <v>24.189890833333333</v>
      </c>
      <c r="AF19" s="240">
        <f>V19/1000+AB19</f>
        <v>24.189890833333333</v>
      </c>
      <c r="AG19" s="240">
        <f>V19/1000+AB19</f>
        <v>24.189890833333333</v>
      </c>
      <c r="AH19" s="240">
        <f>V19/1000+AB19</f>
        <v>24.189890833333333</v>
      </c>
      <c r="AI19" s="240">
        <f>V19/1000+AB19</f>
        <v>24.189890833333333</v>
      </c>
      <c r="AJ19" s="240">
        <f>V19/1000+AB19</f>
        <v>24.189890833333333</v>
      </c>
      <c r="AK19" s="240">
        <f>V19/1000+AB19</f>
        <v>24.189890833333333</v>
      </c>
      <c r="AL19" s="240">
        <f>V19/1000+AB19</f>
        <v>24.189890833333333</v>
      </c>
      <c r="AM19" s="240">
        <f>V19/1000+AB19</f>
        <v>24.189890833333333</v>
      </c>
      <c r="AN19" s="240">
        <f>V19/1000+AB19</f>
        <v>24.189890833333333</v>
      </c>
      <c r="AO19" s="240">
        <f t="shared" si="19"/>
        <v>72.569672499999996</v>
      </c>
      <c r="AP19" s="240">
        <f t="shared" si="20"/>
        <v>72.569672499999996</v>
      </c>
      <c r="AQ19" s="240">
        <f t="shared" si="21"/>
        <v>72.569672499999996</v>
      </c>
      <c r="AR19" s="240">
        <f t="shared" si="22"/>
        <v>72.569672499999996</v>
      </c>
      <c r="AS19" s="240">
        <f t="shared" si="23"/>
        <v>290.27868999999998</v>
      </c>
      <c r="AT19" s="240">
        <f t="shared" si="48"/>
        <v>22.424028802499997</v>
      </c>
      <c r="AU19" s="240">
        <f t="shared" si="48"/>
        <v>22.424028802499997</v>
      </c>
      <c r="AV19" s="240">
        <f t="shared" si="48"/>
        <v>22.424028802499997</v>
      </c>
      <c r="AW19" s="240">
        <f t="shared" si="48"/>
        <v>22.424028802499997</v>
      </c>
      <c r="AX19" s="240">
        <f>SUM(AT19:AW19)</f>
        <v>89.696115209999988</v>
      </c>
      <c r="AY19" s="224"/>
      <c r="AZ19" s="224"/>
      <c r="BA19" s="225"/>
      <c r="BB19" s="224"/>
      <c r="BC19" s="240"/>
      <c r="BD19" s="240"/>
      <c r="BE19" s="241"/>
      <c r="BF19" s="240">
        <f t="shared" si="30"/>
        <v>0</v>
      </c>
      <c r="BG19" s="240">
        <f t="shared" si="31"/>
        <v>0</v>
      </c>
      <c r="BH19" s="240">
        <f t="shared" si="32"/>
        <v>0</v>
      </c>
      <c r="BI19" s="240">
        <f t="shared" si="33"/>
        <v>0</v>
      </c>
      <c r="BJ19" s="240">
        <f t="shared" si="34"/>
        <v>0</v>
      </c>
      <c r="BK19" s="240">
        <f t="shared" si="35"/>
        <v>0</v>
      </c>
      <c r="BL19" s="240">
        <f t="shared" si="36"/>
        <v>0</v>
      </c>
      <c r="BM19" s="240">
        <f t="shared" si="37"/>
        <v>0</v>
      </c>
      <c r="BN19" s="240">
        <f t="shared" si="38"/>
        <v>0</v>
      </c>
      <c r="BO19" s="240">
        <f t="shared" si="39"/>
        <v>0</v>
      </c>
      <c r="BP19" s="240">
        <f t="shared" si="40"/>
        <v>0</v>
      </c>
      <c r="BQ19" s="240">
        <f t="shared" si="41"/>
        <v>0</v>
      </c>
      <c r="BR19" s="240">
        <f t="shared" si="42"/>
        <v>0</v>
      </c>
      <c r="BS19" s="240">
        <f t="shared" si="43"/>
        <v>0</v>
      </c>
      <c r="BT19" s="240">
        <f t="shared" si="44"/>
        <v>0</v>
      </c>
    </row>
    <row r="20" spans="1:72" s="212" customFormat="1" ht="17.25" customHeight="1" x14ac:dyDescent="0.2">
      <c r="A20" s="227" t="s">
        <v>884</v>
      </c>
      <c r="B20" s="228" t="s">
        <v>879</v>
      </c>
      <c r="C20" s="229" t="s">
        <v>907</v>
      </c>
      <c r="D20" s="229" t="s">
        <v>908</v>
      </c>
      <c r="E20" s="231">
        <v>1</v>
      </c>
      <c r="F20" s="231" t="s">
        <v>882</v>
      </c>
      <c r="G20" s="232">
        <v>3</v>
      </c>
      <c r="H20" s="233">
        <v>1.23</v>
      </c>
      <c r="I20" s="234">
        <v>9100</v>
      </c>
      <c r="J20" s="235">
        <f>ROUND(H20*I20, 2)</f>
        <v>11193</v>
      </c>
      <c r="K20" s="219">
        <v>4</v>
      </c>
      <c r="L20" s="238">
        <f>J20*K20%</f>
        <v>447.72</v>
      </c>
      <c r="M20" s="219">
        <v>25</v>
      </c>
      <c r="N20" s="238">
        <f>J20*M20%</f>
        <v>2798.25</v>
      </c>
      <c r="O20" s="245"/>
      <c r="P20" s="238"/>
      <c r="Q20" s="246">
        <v>25</v>
      </c>
      <c r="R20" s="238">
        <f>ROUND((J20+L20+N20+P20)*Q20%, 2)</f>
        <v>3609.74</v>
      </c>
      <c r="S20" s="238">
        <f>ROUND((J20+L20+N20+P20+R20)*0.8, 2)</f>
        <v>14438.97</v>
      </c>
      <c r="T20" s="238">
        <f>ROUND((J20+L20+N20+P20+R20)*0.8, 2)</f>
        <v>14438.97</v>
      </c>
      <c r="U20" s="238">
        <f>ROUND((J20+L20+N20+P20+R20+S20+T20)*E20, 2)</f>
        <v>46926.65</v>
      </c>
      <c r="V20" s="238">
        <f>U20*E20</f>
        <v>46926.65</v>
      </c>
      <c r="W20" s="238"/>
      <c r="X20" s="238"/>
      <c r="Y20" s="247"/>
      <c r="Z20" s="219">
        <f>52+7</f>
        <v>59</v>
      </c>
      <c r="AA20" s="219"/>
      <c r="AB20" s="238">
        <f>V20/12/1000</f>
        <v>3.910554166666667</v>
      </c>
      <c r="AC20" s="240">
        <f>V20/1000+AB20</f>
        <v>50.837204166666666</v>
      </c>
      <c r="AD20" s="240">
        <f>V20/1000+AB20</f>
        <v>50.837204166666666</v>
      </c>
      <c r="AE20" s="240">
        <f>V20/1000+AB20</f>
        <v>50.837204166666666</v>
      </c>
      <c r="AF20" s="240">
        <f>V20/1000+AB20</f>
        <v>50.837204166666666</v>
      </c>
      <c r="AG20" s="240">
        <f>V20/1000+AB20</f>
        <v>50.837204166666666</v>
      </c>
      <c r="AH20" s="240">
        <f>V20/1000+AB20</f>
        <v>50.837204166666666</v>
      </c>
      <c r="AI20" s="240">
        <f>V20/1000+AB20</f>
        <v>50.837204166666666</v>
      </c>
      <c r="AJ20" s="240">
        <f>V20/1000+AB20</f>
        <v>50.837204166666666</v>
      </c>
      <c r="AK20" s="240">
        <f>V20/1000+AB20</f>
        <v>50.837204166666666</v>
      </c>
      <c r="AL20" s="240">
        <f>V20/1000+AB20</f>
        <v>50.837204166666666</v>
      </c>
      <c r="AM20" s="240">
        <f>V20/1000+AB20</f>
        <v>50.837204166666666</v>
      </c>
      <c r="AN20" s="240">
        <f>V20/1000+AB20</f>
        <v>50.837204166666666</v>
      </c>
      <c r="AO20" s="240">
        <f t="shared" si="19"/>
        <v>152.51161250000001</v>
      </c>
      <c r="AP20" s="240">
        <f t="shared" si="20"/>
        <v>152.51161250000001</v>
      </c>
      <c r="AQ20" s="240">
        <f t="shared" si="21"/>
        <v>152.51161250000001</v>
      </c>
      <c r="AR20" s="240">
        <f t="shared" si="22"/>
        <v>152.51161250000001</v>
      </c>
      <c r="AS20" s="240">
        <f t="shared" si="23"/>
        <v>610.04645000000005</v>
      </c>
      <c r="AT20" s="240">
        <f t="shared" si="48"/>
        <v>47.126088262500005</v>
      </c>
      <c r="AU20" s="240">
        <f t="shared" si="48"/>
        <v>47.126088262500005</v>
      </c>
      <c r="AV20" s="240">
        <f t="shared" si="48"/>
        <v>47.126088262500005</v>
      </c>
      <c r="AW20" s="240">
        <f t="shared" si="48"/>
        <v>47.126088262500005</v>
      </c>
      <c r="AX20" s="240">
        <f>SUM(AT20:AW20)</f>
        <v>188.50435305000002</v>
      </c>
      <c r="AY20" s="224">
        <f>5000/1000/4</f>
        <v>1.25</v>
      </c>
      <c r="AZ20" s="224">
        <f>3500/1000</f>
        <v>3.5</v>
      </c>
      <c r="BA20" s="225">
        <f>5000/1000</f>
        <v>5</v>
      </c>
      <c r="BB20" s="224">
        <f>3500/1000</f>
        <v>3.5</v>
      </c>
      <c r="BC20" s="240"/>
      <c r="BD20" s="240"/>
      <c r="BE20" s="241"/>
      <c r="BF20" s="240">
        <f t="shared" si="30"/>
        <v>4.75</v>
      </c>
      <c r="BG20" s="240">
        <f t="shared" si="31"/>
        <v>1.25</v>
      </c>
      <c r="BH20" s="240">
        <f t="shared" si="32"/>
        <v>6.25</v>
      </c>
      <c r="BI20" s="240">
        <f t="shared" si="33"/>
        <v>4.75</v>
      </c>
      <c r="BJ20" s="240">
        <f t="shared" si="34"/>
        <v>17</v>
      </c>
      <c r="BK20" s="240">
        <f t="shared" si="35"/>
        <v>1.4677499999999999</v>
      </c>
      <c r="BL20" s="240">
        <f t="shared" si="36"/>
        <v>0.38624999999999998</v>
      </c>
      <c r="BM20" s="240">
        <f t="shared" si="37"/>
        <v>1.9312499999999999</v>
      </c>
      <c r="BN20" s="240">
        <f t="shared" si="38"/>
        <v>1.4677499999999999</v>
      </c>
      <c r="BO20" s="240">
        <f t="shared" si="39"/>
        <v>5.2529999999999992</v>
      </c>
      <c r="BP20" s="240">
        <f t="shared" si="40"/>
        <v>6.2177499999999997</v>
      </c>
      <c r="BQ20" s="240">
        <f t="shared" si="41"/>
        <v>1.63625</v>
      </c>
      <c r="BR20" s="240">
        <f t="shared" si="42"/>
        <v>8.1812500000000004</v>
      </c>
      <c r="BS20" s="240">
        <f t="shared" si="43"/>
        <v>6.2177499999999997</v>
      </c>
      <c r="BT20" s="240">
        <f t="shared" si="44"/>
        <v>22.252999999999997</v>
      </c>
    </row>
    <row r="21" spans="1:72" s="212" customFormat="1" ht="17.25" customHeight="1" x14ac:dyDescent="0.2">
      <c r="A21" s="227" t="s">
        <v>884</v>
      </c>
      <c r="B21" s="228" t="s">
        <v>879</v>
      </c>
      <c r="C21" s="229" t="s">
        <v>909</v>
      </c>
      <c r="D21" s="229"/>
      <c r="E21" s="231">
        <v>1</v>
      </c>
      <c r="F21" s="231" t="s">
        <v>882</v>
      </c>
      <c r="G21" s="232">
        <v>2</v>
      </c>
      <c r="H21" s="233">
        <v>1.1100000000000001</v>
      </c>
      <c r="I21" s="234">
        <v>9100</v>
      </c>
      <c r="J21" s="235">
        <f>ROUND(H21*I21, 2)</f>
        <v>10101</v>
      </c>
      <c r="K21" s="245"/>
      <c r="L21" s="238"/>
      <c r="M21" s="245"/>
      <c r="N21" s="238"/>
      <c r="O21" s="245"/>
      <c r="P21" s="238"/>
      <c r="Q21" s="246">
        <v>20</v>
      </c>
      <c r="R21" s="238">
        <f>ROUND((J21+L21+N21+P21)*Q21%, 2)</f>
        <v>2020.2</v>
      </c>
      <c r="S21" s="238">
        <f>ROUND((J21+L21+N21+P21+R21)*0.8, 2)</f>
        <v>9696.9599999999991</v>
      </c>
      <c r="T21" s="238">
        <f>ROUND((J21+L21+N21+P21+R21)*0.8, 2)</f>
        <v>9696.9599999999991</v>
      </c>
      <c r="U21" s="238">
        <f>ROUND((J21+L21+N21+P21+R21+S21+T21)*E21, 2)</f>
        <v>31515.119999999999</v>
      </c>
      <c r="V21" s="238">
        <f>U21*E21</f>
        <v>31515.119999999999</v>
      </c>
      <c r="W21" s="238"/>
      <c r="X21" s="238"/>
      <c r="Y21" s="258"/>
      <c r="Z21" s="219">
        <f>52+3</f>
        <v>55</v>
      </c>
      <c r="AA21" s="219"/>
      <c r="AB21" s="238">
        <f>V21/12/1000</f>
        <v>2.6262599999999998</v>
      </c>
      <c r="AC21" s="240">
        <f>V21/1000+AB21</f>
        <v>34.141379999999998</v>
      </c>
      <c r="AD21" s="240">
        <f>V21/1000+AB21</f>
        <v>34.141379999999998</v>
      </c>
      <c r="AE21" s="240">
        <f>V21/1000+AB21</f>
        <v>34.141379999999998</v>
      </c>
      <c r="AF21" s="240">
        <f>V21/1000+AB21</f>
        <v>34.141379999999998</v>
      </c>
      <c r="AG21" s="240">
        <f>V21/1000+AB21</f>
        <v>34.141379999999998</v>
      </c>
      <c r="AH21" s="240">
        <f>V21/1000+AB21</f>
        <v>34.141379999999998</v>
      </c>
      <c r="AI21" s="240">
        <f>V21/1000+AB21</f>
        <v>34.141379999999998</v>
      </c>
      <c r="AJ21" s="240">
        <f>V21/1000+AB21</f>
        <v>34.141379999999998</v>
      </c>
      <c r="AK21" s="240">
        <f>V21/1000+AB21</f>
        <v>34.141379999999998</v>
      </c>
      <c r="AL21" s="240">
        <f>V21/1000+AB21</f>
        <v>34.141379999999998</v>
      </c>
      <c r="AM21" s="240">
        <f>V21/1000+AB21</f>
        <v>34.141379999999998</v>
      </c>
      <c r="AN21" s="240">
        <f>V21/1000+AB21</f>
        <v>34.141379999999998</v>
      </c>
      <c r="AO21" s="240">
        <f t="shared" si="19"/>
        <v>102.42413999999999</v>
      </c>
      <c r="AP21" s="240">
        <f t="shared" si="20"/>
        <v>102.42413999999999</v>
      </c>
      <c r="AQ21" s="240">
        <f t="shared" si="21"/>
        <v>102.42413999999999</v>
      </c>
      <c r="AR21" s="240">
        <f t="shared" si="22"/>
        <v>102.42413999999999</v>
      </c>
      <c r="AS21" s="240">
        <f t="shared" si="23"/>
        <v>409.69655999999998</v>
      </c>
      <c r="AT21" s="240">
        <f t="shared" si="48"/>
        <v>31.649059259999998</v>
      </c>
      <c r="AU21" s="240">
        <f t="shared" si="48"/>
        <v>31.649059259999998</v>
      </c>
      <c r="AV21" s="240">
        <f t="shared" si="48"/>
        <v>31.649059259999998</v>
      </c>
      <c r="AW21" s="240">
        <f t="shared" si="48"/>
        <v>31.649059259999998</v>
      </c>
      <c r="AX21" s="240">
        <f>SUM(AT21:AW21)</f>
        <v>126.59623703999999</v>
      </c>
      <c r="AY21" s="224">
        <f>5000/1000/4</f>
        <v>1.25</v>
      </c>
      <c r="AZ21" s="224">
        <f>3500/1000</f>
        <v>3.5</v>
      </c>
      <c r="BA21" s="225">
        <f>5000/1000</f>
        <v>5</v>
      </c>
      <c r="BB21" s="224">
        <f>3500/1000</f>
        <v>3.5</v>
      </c>
      <c r="BC21" s="240"/>
      <c r="BD21" s="240"/>
      <c r="BE21" s="241"/>
      <c r="BF21" s="240">
        <f t="shared" si="30"/>
        <v>4.75</v>
      </c>
      <c r="BG21" s="240">
        <f t="shared" si="31"/>
        <v>1.25</v>
      </c>
      <c r="BH21" s="240">
        <f t="shared" si="32"/>
        <v>6.25</v>
      </c>
      <c r="BI21" s="240">
        <f t="shared" si="33"/>
        <v>4.75</v>
      </c>
      <c r="BJ21" s="240">
        <f t="shared" si="34"/>
        <v>17</v>
      </c>
      <c r="BK21" s="240">
        <f t="shared" si="35"/>
        <v>1.4677499999999999</v>
      </c>
      <c r="BL21" s="240">
        <f t="shared" si="36"/>
        <v>0.38624999999999998</v>
      </c>
      <c r="BM21" s="240">
        <f t="shared" si="37"/>
        <v>1.9312499999999999</v>
      </c>
      <c r="BN21" s="240">
        <f t="shared" si="38"/>
        <v>1.4677499999999999</v>
      </c>
      <c r="BO21" s="240">
        <f t="shared" si="39"/>
        <v>5.2529999999999992</v>
      </c>
      <c r="BP21" s="240">
        <f t="shared" si="40"/>
        <v>6.2177499999999997</v>
      </c>
      <c r="BQ21" s="240">
        <f t="shared" si="41"/>
        <v>1.63625</v>
      </c>
      <c r="BR21" s="240">
        <f t="shared" si="42"/>
        <v>8.1812500000000004</v>
      </c>
      <c r="BS21" s="240">
        <f t="shared" si="43"/>
        <v>6.2177499999999997</v>
      </c>
      <c r="BT21" s="240">
        <f t="shared" si="44"/>
        <v>22.252999999999997</v>
      </c>
    </row>
    <row r="22" spans="1:72" s="212" customFormat="1" ht="27.75" customHeight="1" x14ac:dyDescent="0.2">
      <c r="A22" s="227" t="s">
        <v>884</v>
      </c>
      <c r="B22" s="228" t="s">
        <v>879</v>
      </c>
      <c r="C22" s="229" t="s">
        <v>909</v>
      </c>
      <c r="D22" s="259" t="s">
        <v>910</v>
      </c>
      <c r="E22" s="231"/>
      <c r="F22" s="231"/>
      <c r="G22" s="232"/>
      <c r="H22" s="233"/>
      <c r="I22" s="234"/>
      <c r="J22" s="235"/>
      <c r="K22" s="245"/>
      <c r="L22" s="238"/>
      <c r="M22" s="245"/>
      <c r="N22" s="238"/>
      <c r="O22" s="245"/>
      <c r="P22" s="238"/>
      <c r="Q22" s="246"/>
      <c r="R22" s="238"/>
      <c r="S22" s="238"/>
      <c r="T22" s="238"/>
      <c r="U22" s="238"/>
      <c r="V22" s="238"/>
      <c r="W22" s="252">
        <v>90</v>
      </c>
      <c r="X22" s="252"/>
      <c r="Y22" s="253" t="s">
        <v>902</v>
      </c>
      <c r="Z22" s="254"/>
      <c r="AA22" s="254"/>
      <c r="AB22" s="252"/>
      <c r="AC22" s="240">
        <f>W22/1000</f>
        <v>0.09</v>
      </c>
      <c r="AD22" s="240">
        <f>W22/1000</f>
        <v>0.09</v>
      </c>
      <c r="AE22" s="240">
        <f>W22/1000</f>
        <v>0.09</v>
      </c>
      <c r="AF22" s="240">
        <f>W22/1000</f>
        <v>0.09</v>
      </c>
      <c r="AG22" s="240">
        <f>W22/1000</f>
        <v>0.09</v>
      </c>
      <c r="AH22" s="240">
        <f>W22/1000</f>
        <v>0.09</v>
      </c>
      <c r="AI22" s="240">
        <f>W22/1000</f>
        <v>0.09</v>
      </c>
      <c r="AJ22" s="240">
        <f>W22/1000</f>
        <v>0.09</v>
      </c>
      <c r="AK22" s="240">
        <f>W22/1000</f>
        <v>0.09</v>
      </c>
      <c r="AL22" s="240">
        <f>W22/1000</f>
        <v>0.09</v>
      </c>
      <c r="AM22" s="240">
        <f>W22/1000</f>
        <v>0.09</v>
      </c>
      <c r="AN22" s="240">
        <f>W22/1000</f>
        <v>0.09</v>
      </c>
      <c r="AO22" s="240">
        <f t="shared" si="19"/>
        <v>0.27</v>
      </c>
      <c r="AP22" s="240">
        <f t="shared" si="20"/>
        <v>0.27</v>
      </c>
      <c r="AQ22" s="240">
        <f t="shared" si="21"/>
        <v>0.27</v>
      </c>
      <c r="AR22" s="240">
        <f t="shared" si="22"/>
        <v>0.27</v>
      </c>
      <c r="AS22" s="240">
        <f t="shared" si="23"/>
        <v>1.08</v>
      </c>
      <c r="AT22" s="240"/>
      <c r="AU22" s="240"/>
      <c r="AV22" s="240"/>
      <c r="AW22" s="240"/>
      <c r="AX22" s="240"/>
      <c r="AY22" s="224"/>
      <c r="AZ22" s="224"/>
      <c r="BA22" s="225"/>
      <c r="BB22" s="224"/>
      <c r="BC22" s="240"/>
      <c r="BD22" s="240"/>
      <c r="BE22" s="241"/>
      <c r="BF22" s="240">
        <f t="shared" si="30"/>
        <v>0</v>
      </c>
      <c r="BG22" s="240">
        <f t="shared" si="31"/>
        <v>0</v>
      </c>
      <c r="BH22" s="240">
        <f t="shared" si="32"/>
        <v>0</v>
      </c>
      <c r="BI22" s="240">
        <f t="shared" si="33"/>
        <v>0</v>
      </c>
      <c r="BJ22" s="240">
        <f t="shared" si="34"/>
        <v>0</v>
      </c>
      <c r="BK22" s="240">
        <f t="shared" si="35"/>
        <v>0</v>
      </c>
      <c r="BL22" s="240">
        <f t="shared" si="36"/>
        <v>0</v>
      </c>
      <c r="BM22" s="240">
        <f t="shared" si="37"/>
        <v>0</v>
      </c>
      <c r="BN22" s="240">
        <f t="shared" si="38"/>
        <v>0</v>
      </c>
      <c r="BO22" s="240">
        <f t="shared" si="39"/>
        <v>0</v>
      </c>
      <c r="BP22" s="240">
        <f t="shared" si="40"/>
        <v>0</v>
      </c>
      <c r="BQ22" s="240">
        <f t="shared" si="41"/>
        <v>0</v>
      </c>
      <c r="BR22" s="240">
        <f t="shared" si="42"/>
        <v>0</v>
      </c>
      <c r="BS22" s="240">
        <f t="shared" si="43"/>
        <v>0</v>
      </c>
      <c r="BT22" s="240">
        <f t="shared" si="44"/>
        <v>0</v>
      </c>
    </row>
    <row r="23" spans="1:72" s="212" customFormat="1" ht="25.5" customHeight="1" x14ac:dyDescent="0.2">
      <c r="A23" s="227" t="s">
        <v>884</v>
      </c>
      <c r="B23" s="228" t="s">
        <v>879</v>
      </c>
      <c r="C23" s="229" t="s">
        <v>911</v>
      </c>
      <c r="D23" s="260" t="s">
        <v>912</v>
      </c>
      <c r="E23" s="231">
        <v>0.5</v>
      </c>
      <c r="F23" s="231" t="s">
        <v>882</v>
      </c>
      <c r="G23" s="232">
        <v>2</v>
      </c>
      <c r="H23" s="233">
        <v>1.1100000000000001</v>
      </c>
      <c r="I23" s="234">
        <v>9100</v>
      </c>
      <c r="J23" s="235">
        <f>ROUND(H23*I23, 2)</f>
        <v>10101</v>
      </c>
      <c r="K23" s="245"/>
      <c r="L23" s="238"/>
      <c r="M23" s="245"/>
      <c r="N23" s="238"/>
      <c r="O23" s="245"/>
      <c r="P23" s="238"/>
      <c r="Q23" s="246">
        <v>20</v>
      </c>
      <c r="R23" s="238">
        <f>ROUND((J23+L23+N23+P23)*Q23%, 2)</f>
        <v>2020.2</v>
      </c>
      <c r="S23" s="238">
        <f>ROUND((J23+L23+N23+P23+R23)*0.8, 2)</f>
        <v>9696.9599999999991</v>
      </c>
      <c r="T23" s="238">
        <f>ROUND((J23+L23+N23+P23+R23)*0.8, 2)</f>
        <v>9696.9599999999991</v>
      </c>
      <c r="U23" s="238">
        <f>ROUND((J23+L23+N23+P23+R23+S23+T23)*E23, 2)</f>
        <v>15757.56</v>
      </c>
      <c r="V23" s="238">
        <f>U23</f>
        <v>15757.56</v>
      </c>
      <c r="W23" s="238"/>
      <c r="X23" s="238"/>
      <c r="Y23" s="261"/>
      <c r="Z23" s="219"/>
      <c r="AA23" s="219"/>
      <c r="AB23" s="238">
        <f>V23/12/1000</f>
        <v>1.3131299999999999</v>
      </c>
      <c r="AC23" s="240">
        <f>V23/1000+AB23</f>
        <v>17.070689999999999</v>
      </c>
      <c r="AD23" s="240">
        <f>V23/1000+AB23</f>
        <v>17.070689999999999</v>
      </c>
      <c r="AE23" s="240">
        <f>V23/1000+AB23</f>
        <v>17.070689999999999</v>
      </c>
      <c r="AF23" s="240">
        <f>V23/1000+AB23</f>
        <v>17.070689999999999</v>
      </c>
      <c r="AG23" s="240">
        <f>V23/1000+AB23</f>
        <v>17.070689999999999</v>
      </c>
      <c r="AH23" s="240">
        <f>V23/1000+AB23</f>
        <v>17.070689999999999</v>
      </c>
      <c r="AI23" s="240">
        <f>V23/1000+AB23</f>
        <v>17.070689999999999</v>
      </c>
      <c r="AJ23" s="240">
        <f>V23/1000+AB23</f>
        <v>17.070689999999999</v>
      </c>
      <c r="AK23" s="240">
        <f>V23/1000+AB23</f>
        <v>17.070689999999999</v>
      </c>
      <c r="AL23" s="240">
        <f>V23/1000+AB23</f>
        <v>17.070689999999999</v>
      </c>
      <c r="AM23" s="240">
        <f>V23/1000+AB23</f>
        <v>17.070689999999999</v>
      </c>
      <c r="AN23" s="240">
        <f>V23/1000+AB23</f>
        <v>17.070689999999999</v>
      </c>
      <c r="AO23" s="240">
        <f t="shared" si="19"/>
        <v>51.212069999999997</v>
      </c>
      <c r="AP23" s="240">
        <f t="shared" si="20"/>
        <v>51.212069999999997</v>
      </c>
      <c r="AQ23" s="240">
        <f t="shared" si="21"/>
        <v>51.212069999999997</v>
      </c>
      <c r="AR23" s="240">
        <f t="shared" si="22"/>
        <v>51.212069999999997</v>
      </c>
      <c r="AS23" s="240">
        <f t="shared" si="23"/>
        <v>204.84827999999999</v>
      </c>
      <c r="AT23" s="240">
        <f t="shared" ref="AT23:AW24" si="49">AO23*0.309</f>
        <v>15.824529629999999</v>
      </c>
      <c r="AU23" s="240">
        <f t="shared" si="49"/>
        <v>15.824529629999999</v>
      </c>
      <c r="AV23" s="240">
        <f t="shared" si="49"/>
        <v>15.824529629999999</v>
      </c>
      <c r="AW23" s="240">
        <f t="shared" si="49"/>
        <v>15.824529629999999</v>
      </c>
      <c r="AX23" s="240">
        <f>SUM(AT23:AW23)</f>
        <v>63.298118519999996</v>
      </c>
      <c r="AY23" s="224"/>
      <c r="AZ23" s="224"/>
      <c r="BA23" s="225"/>
      <c r="BB23" s="224"/>
      <c r="BC23" s="240"/>
      <c r="BD23" s="240"/>
      <c r="BE23" s="241"/>
      <c r="BF23" s="240">
        <f t="shared" si="30"/>
        <v>0</v>
      </c>
      <c r="BG23" s="240">
        <f t="shared" si="31"/>
        <v>0</v>
      </c>
      <c r="BH23" s="240">
        <f t="shared" si="32"/>
        <v>0</v>
      </c>
      <c r="BI23" s="240">
        <f t="shared" si="33"/>
        <v>0</v>
      </c>
      <c r="BJ23" s="240">
        <f t="shared" si="34"/>
        <v>0</v>
      </c>
      <c r="BK23" s="240">
        <f t="shared" si="35"/>
        <v>0</v>
      </c>
      <c r="BL23" s="240">
        <f t="shared" si="36"/>
        <v>0</v>
      </c>
      <c r="BM23" s="240">
        <f t="shared" si="37"/>
        <v>0</v>
      </c>
      <c r="BN23" s="240">
        <f t="shared" si="38"/>
        <v>0</v>
      </c>
      <c r="BO23" s="240">
        <f t="shared" si="39"/>
        <v>0</v>
      </c>
      <c r="BP23" s="240">
        <f t="shared" si="40"/>
        <v>0</v>
      </c>
      <c r="BQ23" s="240">
        <f t="shared" si="41"/>
        <v>0</v>
      </c>
      <c r="BR23" s="240">
        <f t="shared" si="42"/>
        <v>0</v>
      </c>
      <c r="BS23" s="240">
        <f t="shared" si="43"/>
        <v>0</v>
      </c>
      <c r="BT23" s="240">
        <f t="shared" si="44"/>
        <v>0</v>
      </c>
    </row>
    <row r="24" spans="1:72" s="212" customFormat="1" ht="17.25" customHeight="1" x14ac:dyDescent="0.2">
      <c r="A24" s="227" t="s">
        <v>884</v>
      </c>
      <c r="B24" s="228" t="s">
        <v>879</v>
      </c>
      <c r="C24" s="229" t="s">
        <v>913</v>
      </c>
      <c r="D24" s="262" t="s">
        <v>914</v>
      </c>
      <c r="E24" s="231">
        <v>0.4</v>
      </c>
      <c r="F24" s="231" t="s">
        <v>882</v>
      </c>
      <c r="G24" s="232">
        <v>2</v>
      </c>
      <c r="H24" s="233">
        <v>1.1100000000000001</v>
      </c>
      <c r="I24" s="234">
        <v>9100</v>
      </c>
      <c r="J24" s="235">
        <f>ROUND(H24*I24, 2)</f>
        <v>10101</v>
      </c>
      <c r="K24" s="245"/>
      <c r="L24" s="238"/>
      <c r="M24" s="245"/>
      <c r="N24" s="238"/>
      <c r="O24" s="245"/>
      <c r="P24" s="238"/>
      <c r="Q24" s="246">
        <v>15</v>
      </c>
      <c r="R24" s="238">
        <f>ROUND((J24+L24+N24+P24)*Q24%, 2)</f>
        <v>1515.15</v>
      </c>
      <c r="S24" s="238">
        <f>ROUND((J24+L24+N24+P24+R24)*0.8, 2)</f>
        <v>9292.92</v>
      </c>
      <c r="T24" s="238">
        <f>ROUND((J24+L24+N24+P24+R24)*0.8, 2)</f>
        <v>9292.92</v>
      </c>
      <c r="U24" s="238">
        <f>ROUND((J24+L24+N24+P24+R24+S24+T24)*E24, 2)</f>
        <v>12080.8</v>
      </c>
      <c r="V24" s="238">
        <f>U24</f>
        <v>12080.8</v>
      </c>
      <c r="W24" s="238"/>
      <c r="X24" s="238"/>
      <c r="Y24" s="261"/>
      <c r="Z24" s="219">
        <f>52+3</f>
        <v>55</v>
      </c>
      <c r="AA24" s="219"/>
      <c r="AB24" s="238">
        <f>V24/12/1000</f>
        <v>1.0067333333333333</v>
      </c>
      <c r="AC24" s="240">
        <f>V24/1000+AB24</f>
        <v>13.087533333333333</v>
      </c>
      <c r="AD24" s="240">
        <f>V24/1000+AB24</f>
        <v>13.087533333333333</v>
      </c>
      <c r="AE24" s="240">
        <f>V24/1000+AB24</f>
        <v>13.087533333333333</v>
      </c>
      <c r="AF24" s="240">
        <f>V24/1000+AB24</f>
        <v>13.087533333333333</v>
      </c>
      <c r="AG24" s="240">
        <f>V24/1000+AB24</f>
        <v>13.087533333333333</v>
      </c>
      <c r="AH24" s="240">
        <f>V24/1000+AB24</f>
        <v>13.087533333333333</v>
      </c>
      <c r="AI24" s="240">
        <f>V24/1000+AB24</f>
        <v>13.087533333333333</v>
      </c>
      <c r="AJ24" s="240">
        <f>V24/1000+AB24</f>
        <v>13.087533333333333</v>
      </c>
      <c r="AK24" s="240">
        <f>V24/1000+AB24</f>
        <v>13.087533333333333</v>
      </c>
      <c r="AL24" s="240">
        <f>V24/1000+AB24</f>
        <v>13.087533333333333</v>
      </c>
      <c r="AM24" s="240">
        <f>V24/1000+AB24</f>
        <v>13.087533333333333</v>
      </c>
      <c r="AN24" s="240">
        <f>V24/1000+AB24</f>
        <v>13.087533333333333</v>
      </c>
      <c r="AO24" s="240">
        <f t="shared" si="19"/>
        <v>39.262599999999999</v>
      </c>
      <c r="AP24" s="240">
        <f t="shared" si="20"/>
        <v>39.262599999999999</v>
      </c>
      <c r="AQ24" s="240">
        <f t="shared" si="21"/>
        <v>39.262599999999999</v>
      </c>
      <c r="AR24" s="240">
        <f t="shared" si="22"/>
        <v>39.262599999999999</v>
      </c>
      <c r="AS24" s="240">
        <f t="shared" si="23"/>
        <v>157.0504</v>
      </c>
      <c r="AT24" s="240">
        <f t="shared" si="49"/>
        <v>12.1321434</v>
      </c>
      <c r="AU24" s="240">
        <f t="shared" si="49"/>
        <v>12.1321434</v>
      </c>
      <c r="AV24" s="240">
        <f t="shared" si="49"/>
        <v>12.1321434</v>
      </c>
      <c r="AW24" s="240">
        <f t="shared" si="49"/>
        <v>12.1321434</v>
      </c>
      <c r="AX24" s="240">
        <f>SUM(AT24:AW24)</f>
        <v>48.528573600000001</v>
      </c>
      <c r="AY24" s="224">
        <f>5000/1000/4</f>
        <v>1.25</v>
      </c>
      <c r="AZ24" s="224">
        <f>3500/1000</f>
        <v>3.5</v>
      </c>
      <c r="BA24" s="225">
        <f>5000/1000</f>
        <v>5</v>
      </c>
      <c r="BB24" s="224">
        <f>3500/1000</f>
        <v>3.5</v>
      </c>
      <c r="BC24" s="240"/>
      <c r="BD24" s="240"/>
      <c r="BE24" s="241"/>
      <c r="BF24" s="240">
        <f t="shared" si="30"/>
        <v>4.75</v>
      </c>
      <c r="BG24" s="240">
        <f t="shared" si="31"/>
        <v>1.25</v>
      </c>
      <c r="BH24" s="240">
        <f t="shared" si="32"/>
        <v>6.25</v>
      </c>
      <c r="BI24" s="240">
        <f t="shared" si="33"/>
        <v>4.75</v>
      </c>
      <c r="BJ24" s="240">
        <f t="shared" si="34"/>
        <v>17</v>
      </c>
      <c r="BK24" s="240">
        <f t="shared" si="35"/>
        <v>1.4677499999999999</v>
      </c>
      <c r="BL24" s="240">
        <f t="shared" si="36"/>
        <v>0.38624999999999998</v>
      </c>
      <c r="BM24" s="240">
        <f t="shared" si="37"/>
        <v>1.9312499999999999</v>
      </c>
      <c r="BN24" s="240">
        <f t="shared" si="38"/>
        <v>1.4677499999999999</v>
      </c>
      <c r="BO24" s="240">
        <f t="shared" si="39"/>
        <v>5.2529999999999992</v>
      </c>
      <c r="BP24" s="240">
        <f t="shared" si="40"/>
        <v>6.2177499999999997</v>
      </c>
      <c r="BQ24" s="240">
        <f t="shared" si="41"/>
        <v>1.63625</v>
      </c>
      <c r="BR24" s="240">
        <f t="shared" si="42"/>
        <v>8.1812500000000004</v>
      </c>
      <c r="BS24" s="240">
        <f t="shared" si="43"/>
        <v>6.2177499999999997</v>
      </c>
      <c r="BT24" s="240">
        <f t="shared" si="44"/>
        <v>22.252999999999997</v>
      </c>
    </row>
    <row r="25" spans="1:72" ht="18.75" customHeight="1" x14ac:dyDescent="0.2">
      <c r="A25" s="263" t="s">
        <v>884</v>
      </c>
      <c r="B25" s="264"/>
      <c r="C25" s="265" t="s">
        <v>915</v>
      </c>
      <c r="D25" s="265"/>
      <c r="E25" s="266">
        <f>SUM(E7:E24)</f>
        <v>13.9</v>
      </c>
      <c r="F25" s="266"/>
      <c r="G25" s="266"/>
      <c r="H25" s="266"/>
      <c r="I25" s="267"/>
      <c r="J25" s="267">
        <f>SUM(J7:J24)</f>
        <v>338137.8</v>
      </c>
      <c r="K25" s="266"/>
      <c r="L25" s="267">
        <f>SUM(L7:L24)</f>
        <v>447.72</v>
      </c>
      <c r="M25" s="268"/>
      <c r="N25" s="267">
        <f>SUM(N7:N24)</f>
        <v>2798.25</v>
      </c>
      <c r="O25" s="268"/>
      <c r="P25" s="267">
        <f>SUM(P7:P23)</f>
        <v>0</v>
      </c>
      <c r="Q25" s="267"/>
      <c r="R25" s="267">
        <f>SUM(R7:R24)</f>
        <v>79485.539999999994</v>
      </c>
      <c r="S25" s="267">
        <f>SUM(S7:S24)</f>
        <v>336695.45</v>
      </c>
      <c r="T25" s="267">
        <f>SUM(T7:T24)</f>
        <v>336695.45</v>
      </c>
      <c r="U25" s="267">
        <f>SUM(U7:U24)</f>
        <v>1012369.4100000001</v>
      </c>
      <c r="V25" s="267">
        <f>SUM(V7:V24)</f>
        <v>1012369.4100000001</v>
      </c>
      <c r="W25" s="267"/>
      <c r="X25" s="267"/>
      <c r="Y25" s="269"/>
      <c r="Z25" s="270"/>
      <c r="AA25" s="270"/>
      <c r="AB25" s="271"/>
      <c r="AC25" s="272">
        <f t="shared" ref="AC25:BT25" si="50">SUM(AC7:AC24)</f>
        <v>1055.2013418333333</v>
      </c>
      <c r="AD25" s="272">
        <f t="shared" si="50"/>
        <v>1055.2013418333333</v>
      </c>
      <c r="AE25" s="272">
        <f t="shared" si="50"/>
        <v>1055.2013418333333</v>
      </c>
      <c r="AF25" s="272">
        <f t="shared" si="50"/>
        <v>1055.2013418333333</v>
      </c>
      <c r="AG25" s="272">
        <f t="shared" si="50"/>
        <v>1055.2013418333333</v>
      </c>
      <c r="AH25" s="272">
        <f t="shared" si="50"/>
        <v>1055.2013418333333</v>
      </c>
      <c r="AI25" s="272">
        <f t="shared" si="50"/>
        <v>1055.2013418333333</v>
      </c>
      <c r="AJ25" s="272">
        <f t="shared" si="50"/>
        <v>1055.2013418333333</v>
      </c>
      <c r="AK25" s="272">
        <f t="shared" si="50"/>
        <v>1145.1275418333332</v>
      </c>
      <c r="AL25" s="272">
        <f t="shared" si="50"/>
        <v>1055.2013418333333</v>
      </c>
      <c r="AM25" s="272">
        <f t="shared" si="50"/>
        <v>1055.2013418333333</v>
      </c>
      <c r="AN25" s="272">
        <f t="shared" si="50"/>
        <v>1055.2013418333333</v>
      </c>
      <c r="AO25" s="273">
        <f t="shared" si="50"/>
        <v>3165.6040254999998</v>
      </c>
      <c r="AP25" s="273">
        <f t="shared" si="50"/>
        <v>3165.6040254999998</v>
      </c>
      <c r="AQ25" s="273">
        <f t="shared" si="50"/>
        <v>3255.5302255000001</v>
      </c>
      <c r="AR25" s="273">
        <f t="shared" si="50"/>
        <v>3165.6040254999998</v>
      </c>
      <c r="AS25" s="273">
        <f t="shared" si="50"/>
        <v>12752.342301999999</v>
      </c>
      <c r="AT25" s="273">
        <f t="shared" si="50"/>
        <v>978.0047838795</v>
      </c>
      <c r="AU25" s="273">
        <f t="shared" si="50"/>
        <v>978.0047838795</v>
      </c>
      <c r="AV25" s="273">
        <f t="shared" si="50"/>
        <v>1005.7919796794999</v>
      </c>
      <c r="AW25" s="273">
        <f t="shared" si="50"/>
        <v>978.0047838795</v>
      </c>
      <c r="AX25" s="273">
        <f t="shared" si="50"/>
        <v>3939.806331318</v>
      </c>
      <c r="AY25" s="273">
        <f t="shared" si="50"/>
        <v>15</v>
      </c>
      <c r="AZ25" s="273">
        <f t="shared" si="50"/>
        <v>42</v>
      </c>
      <c r="BA25" s="273">
        <f t="shared" si="50"/>
        <v>60</v>
      </c>
      <c r="BB25" s="273">
        <f t="shared" si="50"/>
        <v>42</v>
      </c>
      <c r="BC25" s="273">
        <f t="shared" si="50"/>
        <v>0</v>
      </c>
      <c r="BD25" s="273">
        <f t="shared" si="50"/>
        <v>0</v>
      </c>
      <c r="BE25" s="274">
        <f t="shared" si="50"/>
        <v>0</v>
      </c>
      <c r="BF25" s="273">
        <f t="shared" si="50"/>
        <v>57</v>
      </c>
      <c r="BG25" s="273">
        <f t="shared" si="50"/>
        <v>15</v>
      </c>
      <c r="BH25" s="273">
        <f t="shared" si="50"/>
        <v>75</v>
      </c>
      <c r="BI25" s="273">
        <f t="shared" si="50"/>
        <v>57</v>
      </c>
      <c r="BJ25" s="273">
        <f t="shared" si="50"/>
        <v>204</v>
      </c>
      <c r="BK25" s="273">
        <f t="shared" si="50"/>
        <v>17.613</v>
      </c>
      <c r="BL25" s="273">
        <f t="shared" si="50"/>
        <v>4.6349999999999998</v>
      </c>
      <c r="BM25" s="273">
        <f t="shared" si="50"/>
        <v>23.174999999999997</v>
      </c>
      <c r="BN25" s="273">
        <f t="shared" si="50"/>
        <v>17.613</v>
      </c>
      <c r="BO25" s="273">
        <f t="shared" si="50"/>
        <v>63.035999999999994</v>
      </c>
      <c r="BP25" s="273">
        <f t="shared" si="50"/>
        <v>74.613</v>
      </c>
      <c r="BQ25" s="273">
        <f t="shared" si="50"/>
        <v>19.635000000000002</v>
      </c>
      <c r="BR25" s="273">
        <f t="shared" si="50"/>
        <v>98.175000000000026</v>
      </c>
      <c r="BS25" s="273">
        <f t="shared" si="50"/>
        <v>74.613</v>
      </c>
      <c r="BT25" s="273">
        <f t="shared" si="50"/>
        <v>267.03599999999989</v>
      </c>
    </row>
    <row r="26" spans="1:72" s="212" customFormat="1" ht="18" customHeight="1" x14ac:dyDescent="0.2">
      <c r="A26" s="243" t="s">
        <v>916</v>
      </c>
      <c r="B26" s="228" t="s">
        <v>917</v>
      </c>
      <c r="C26" s="229" t="s">
        <v>918</v>
      </c>
      <c r="D26" s="229" t="s">
        <v>919</v>
      </c>
      <c r="E26" s="231">
        <v>1</v>
      </c>
      <c r="F26" s="231" t="s">
        <v>920</v>
      </c>
      <c r="G26" s="232">
        <v>14</v>
      </c>
      <c r="H26" s="233">
        <v>3.36</v>
      </c>
      <c r="I26" s="234">
        <v>9100</v>
      </c>
      <c r="J26" s="235">
        <f t="shared" ref="J26:J57" si="51">ROUND(H26*I26, 2)</f>
        <v>30576</v>
      </c>
      <c r="K26" s="275"/>
      <c r="L26" s="238"/>
      <c r="M26" s="245"/>
      <c r="N26" s="238"/>
      <c r="O26" s="245"/>
      <c r="P26" s="238"/>
      <c r="Q26" s="246">
        <v>30</v>
      </c>
      <c r="R26" s="238">
        <f t="shared" ref="R26:R57" si="52">ROUND((J26+L26+N26+P26)*Q26%, 2)</f>
        <v>9172.7999999999993</v>
      </c>
      <c r="S26" s="238">
        <f t="shared" ref="S26:S57" si="53">ROUND((J26+L26+N26+P26+R26)*0.8, 2)</f>
        <v>31799.040000000001</v>
      </c>
      <c r="T26" s="238">
        <f t="shared" ref="T26:T57" si="54">ROUND((J26+L26+N26+P26+R26)*0.8, 2)</f>
        <v>31799.040000000001</v>
      </c>
      <c r="U26" s="238">
        <f>ROUND((J26+L26+N26+P26+R26+S26+T26)*E26, 2)</f>
        <v>103346.88</v>
      </c>
      <c r="V26" s="238">
        <f t="shared" ref="V26:V37" si="55">U26*E26</f>
        <v>103346.88</v>
      </c>
      <c r="W26" s="238"/>
      <c r="X26" s="238"/>
      <c r="Y26" s="247"/>
      <c r="Z26" s="219">
        <f>52+10</f>
        <v>62</v>
      </c>
      <c r="AA26" s="219"/>
      <c r="AB26" s="238">
        <f>V26/12/1000</f>
        <v>8.6122399999999999</v>
      </c>
      <c r="AC26" s="240">
        <f>V26/1000+AB26</f>
        <v>111.95912</v>
      </c>
      <c r="AD26" s="240">
        <f>V26/1000+AB26</f>
        <v>111.95912</v>
      </c>
      <c r="AE26" s="240">
        <f>V26/1000+AB26</f>
        <v>111.95912</v>
      </c>
      <c r="AF26" s="240">
        <f>V26/1000+AB26</f>
        <v>111.95912</v>
      </c>
      <c r="AG26" s="240">
        <f>V26/1000+AB26</f>
        <v>111.95912</v>
      </c>
      <c r="AH26" s="240">
        <f>V26/1000+AB26</f>
        <v>111.95912</v>
      </c>
      <c r="AI26" s="240">
        <f>V26/1000+AB26</f>
        <v>111.95912</v>
      </c>
      <c r="AJ26" s="240">
        <f>V26/1000+AB26</f>
        <v>111.95912</v>
      </c>
      <c r="AK26" s="240">
        <f>V26/1000+AB26</f>
        <v>111.95912</v>
      </c>
      <c r="AL26" s="240">
        <f>V26/1000+AB26</f>
        <v>111.95912</v>
      </c>
      <c r="AM26" s="240">
        <f>V26/1000+AB26</f>
        <v>111.95912</v>
      </c>
      <c r="AN26" s="240">
        <f>V26/1000+AB26</f>
        <v>111.95912</v>
      </c>
      <c r="AO26" s="240">
        <f t="shared" ref="AO26:AO57" si="56">SUM(AC26:AE26)</f>
        <v>335.87736000000001</v>
      </c>
      <c r="AP26" s="240">
        <f t="shared" ref="AP26:AP57" si="57">SUM(AF26:AH26)</f>
        <v>335.87736000000001</v>
      </c>
      <c r="AQ26" s="240">
        <f t="shared" ref="AQ26:AQ57" si="58">SUM(AI26:AK26)</f>
        <v>335.87736000000001</v>
      </c>
      <c r="AR26" s="240">
        <f t="shared" ref="AR26:AR57" si="59">SUM(AL26:AN26)</f>
        <v>335.87736000000001</v>
      </c>
      <c r="AS26" s="240">
        <f t="shared" ref="AS26:AS57" si="60">SUM(AO26:AR26)</f>
        <v>1343.50944</v>
      </c>
      <c r="AT26" s="240">
        <f t="shared" ref="AT26:AT57" si="61">AO26*0.309</f>
        <v>103.78610424</v>
      </c>
      <c r="AU26" s="240">
        <f t="shared" ref="AU26:AU57" si="62">AP26*0.309</f>
        <v>103.78610424</v>
      </c>
      <c r="AV26" s="240">
        <f t="shared" ref="AV26:AV57" si="63">AQ26*0.309</f>
        <v>103.78610424</v>
      </c>
      <c r="AW26" s="240">
        <f t="shared" ref="AW26:AW57" si="64">AR26*0.309</f>
        <v>103.78610424</v>
      </c>
      <c r="AX26" s="240">
        <f t="shared" ref="AX26:AX57" si="65">SUM(AT26:AW26)</f>
        <v>415.14441696</v>
      </c>
      <c r="AY26" s="224">
        <f>5000/1000/4</f>
        <v>1.25</v>
      </c>
      <c r="AZ26" s="224">
        <f>3500/1000</f>
        <v>3.5</v>
      </c>
      <c r="BA26" s="225">
        <f>5000/1000</f>
        <v>5</v>
      </c>
      <c r="BB26" s="224">
        <f>3500/1000</f>
        <v>3.5</v>
      </c>
      <c r="BC26" s="240"/>
      <c r="BD26" s="240"/>
      <c r="BE26" s="276">
        <f>BE6</f>
        <v>10</v>
      </c>
      <c r="BF26" s="240">
        <f>AY26+AZ26+BE26</f>
        <v>14.75</v>
      </c>
      <c r="BG26" s="240">
        <f t="shared" ref="BG26:BG57" si="66">AY26</f>
        <v>1.25</v>
      </c>
      <c r="BH26" s="240">
        <f>AY26+BA26</f>
        <v>6.25</v>
      </c>
      <c r="BI26" s="240">
        <f t="shared" ref="BI26:BI57" si="67">AY26+BB26</f>
        <v>4.75</v>
      </c>
      <c r="BJ26" s="240">
        <f t="shared" ref="BJ26:BJ57" si="68">SUM(BF26:BI26)</f>
        <v>27</v>
      </c>
      <c r="BK26" s="240">
        <f>(BF26-BE26)*0.309</f>
        <v>1.4677499999999999</v>
      </c>
      <c r="BL26" s="240">
        <f t="shared" ref="BL26:BL57" si="69">BG26*0.309</f>
        <v>0.38624999999999998</v>
      </c>
      <c r="BM26" s="240">
        <f t="shared" ref="BM26:BM57" si="70">BH26*0.309</f>
        <v>1.9312499999999999</v>
      </c>
      <c r="BN26" s="240">
        <f t="shared" ref="BN26:BN57" si="71">BI26*0.309</f>
        <v>1.4677499999999999</v>
      </c>
      <c r="BO26" s="240">
        <f t="shared" ref="BO26:BO57" si="72">SUM(BK26:BN26)</f>
        <v>5.2529999999999992</v>
      </c>
      <c r="BP26" s="240">
        <f t="shared" ref="BP26:BP57" si="73">BF26+BK26</f>
        <v>16.217749999999999</v>
      </c>
      <c r="BQ26" s="240">
        <f t="shared" ref="BQ26:BQ57" si="74">BG26+BL26</f>
        <v>1.63625</v>
      </c>
      <c r="BR26" s="240">
        <f t="shared" ref="BR26:BR57" si="75">BH26+BM26</f>
        <v>8.1812500000000004</v>
      </c>
      <c r="BS26" s="240">
        <f t="shared" ref="BS26:BS57" si="76">BI26+BN26</f>
        <v>6.2177499999999997</v>
      </c>
      <c r="BT26" s="240">
        <f t="shared" ref="BT26:BT57" si="77">SUM(BP26:BS26)</f>
        <v>32.253</v>
      </c>
    </row>
    <row r="27" spans="1:72" s="277" customFormat="1" ht="18" customHeight="1" x14ac:dyDescent="0.2">
      <c r="A27" s="278" t="s">
        <v>916</v>
      </c>
      <c r="B27" s="279" t="s">
        <v>917</v>
      </c>
      <c r="C27" s="280" t="s">
        <v>921</v>
      </c>
      <c r="D27" s="281" t="s">
        <v>922</v>
      </c>
      <c r="E27" s="282">
        <v>1</v>
      </c>
      <c r="F27" s="282" t="s">
        <v>923</v>
      </c>
      <c r="G27" s="283">
        <v>10</v>
      </c>
      <c r="H27" s="284">
        <v>2.44</v>
      </c>
      <c r="I27" s="285">
        <v>9100</v>
      </c>
      <c r="J27" s="285">
        <f t="shared" si="51"/>
        <v>22204</v>
      </c>
      <c r="K27" s="283">
        <v>4</v>
      </c>
      <c r="L27" s="285">
        <f>J27*K27%</f>
        <v>888.16</v>
      </c>
      <c r="M27" s="286"/>
      <c r="N27" s="287"/>
      <c r="O27" s="288">
        <v>40</v>
      </c>
      <c r="P27" s="285">
        <v>2960.53</v>
      </c>
      <c r="Q27" s="289">
        <v>30</v>
      </c>
      <c r="R27" s="285">
        <f t="shared" si="52"/>
        <v>7815.81</v>
      </c>
      <c r="S27" s="285">
        <f t="shared" si="53"/>
        <v>27094.799999999999</v>
      </c>
      <c r="T27" s="285">
        <f t="shared" si="54"/>
        <v>27094.799999999999</v>
      </c>
      <c r="U27" s="285">
        <f>ROUND((J27+L27+N27+P27+R27+S27+T27)*E27/E27, 2)</f>
        <v>88058.1</v>
      </c>
      <c r="V27" s="285">
        <f t="shared" si="55"/>
        <v>88058.1</v>
      </c>
      <c r="W27" s="285"/>
      <c r="X27" s="285"/>
      <c r="Y27" s="290"/>
      <c r="Z27" s="291">
        <v>52</v>
      </c>
      <c r="AA27" s="291">
        <v>100</v>
      </c>
      <c r="AB27" s="292"/>
      <c r="AC27" s="293"/>
      <c r="AD27" s="293">
        <f>(J27+L27+(J27+L27)*Q27%)*2.6/1000</f>
        <v>78.051500800000014</v>
      </c>
      <c r="AE27" s="293">
        <f>(J27+L27+(J27+L27)*Q27%)*2.6/1000</f>
        <v>78.051500800000014</v>
      </c>
      <c r="AF27" s="293">
        <f>V27/1000</f>
        <v>88.05810000000001</v>
      </c>
      <c r="AG27" s="293">
        <f>V27/1000</f>
        <v>88.05810000000001</v>
      </c>
      <c r="AH27" s="293">
        <f>V27/1000+AA27</f>
        <v>188.05810000000002</v>
      </c>
      <c r="AI27" s="293">
        <f>V27/1000+AA27*2</f>
        <v>288.05810000000002</v>
      </c>
      <c r="AJ27" s="293">
        <f>V27/1000+AA27*2</f>
        <v>288.05810000000002</v>
      </c>
      <c r="AK27" s="293">
        <f>V27/1000+AA27+(AD27+AE27+AF27+AG27+AH27+AI27+AJ27+288.06)/8/29.3*52</f>
        <v>495.18942288054609</v>
      </c>
      <c r="AL27" s="293"/>
      <c r="AM27" s="293"/>
      <c r="AN27" s="293"/>
      <c r="AO27" s="293">
        <f t="shared" si="56"/>
        <v>156.10300160000003</v>
      </c>
      <c r="AP27" s="293">
        <f t="shared" si="57"/>
        <v>364.17430000000002</v>
      </c>
      <c r="AQ27" s="293">
        <f t="shared" si="58"/>
        <v>1071.3056228805463</v>
      </c>
      <c r="AR27" s="293">
        <f t="shared" si="59"/>
        <v>0</v>
      </c>
      <c r="AS27" s="293">
        <f t="shared" si="60"/>
        <v>1591.5829244805464</v>
      </c>
      <c r="AT27" s="293">
        <f t="shared" si="61"/>
        <v>48.235827494400006</v>
      </c>
      <c r="AU27" s="293">
        <f t="shared" si="62"/>
        <v>112.52985870000001</v>
      </c>
      <c r="AV27" s="293">
        <f t="shared" si="63"/>
        <v>331.03343747008881</v>
      </c>
      <c r="AW27" s="293">
        <f t="shared" si="64"/>
        <v>0</v>
      </c>
      <c r="AX27" s="293">
        <f t="shared" si="65"/>
        <v>491.79912366448883</v>
      </c>
      <c r="AY27" s="294">
        <f>5000/1000/4</f>
        <v>1.25</v>
      </c>
      <c r="AZ27" s="294">
        <f>3500/1000</f>
        <v>3.5</v>
      </c>
      <c r="BA27" s="295">
        <f>5000/1000</f>
        <v>5</v>
      </c>
      <c r="BB27" s="294">
        <f>3500/1000</f>
        <v>3.5</v>
      </c>
      <c r="BC27" s="293">
        <f>BC6</f>
        <v>15</v>
      </c>
      <c r="BD27" s="293"/>
      <c r="BE27" s="296"/>
      <c r="BF27" s="293">
        <f t="shared" ref="BF27:BF58" si="78">AY27+AZ27</f>
        <v>4.75</v>
      </c>
      <c r="BG27" s="293">
        <f t="shared" si="66"/>
        <v>1.25</v>
      </c>
      <c r="BH27" s="293">
        <f>AY27+BA27+BC27</f>
        <v>21.25</v>
      </c>
      <c r="BI27" s="293">
        <f t="shared" si="67"/>
        <v>4.75</v>
      </c>
      <c r="BJ27" s="293">
        <f t="shared" si="68"/>
        <v>32</v>
      </c>
      <c r="BK27" s="293">
        <f t="shared" ref="BK27:BK58" si="79">BF27*0.309</f>
        <v>1.4677499999999999</v>
      </c>
      <c r="BL27" s="293">
        <f t="shared" si="69"/>
        <v>0.38624999999999998</v>
      </c>
      <c r="BM27" s="293">
        <f t="shared" si="70"/>
        <v>6.5662500000000001</v>
      </c>
      <c r="BN27" s="293">
        <f t="shared" si="71"/>
        <v>1.4677499999999999</v>
      </c>
      <c r="BO27" s="293">
        <f t="shared" si="72"/>
        <v>9.8879999999999999</v>
      </c>
      <c r="BP27" s="293">
        <f t="shared" si="73"/>
        <v>6.2177499999999997</v>
      </c>
      <c r="BQ27" s="293">
        <f t="shared" si="74"/>
        <v>1.63625</v>
      </c>
      <c r="BR27" s="293">
        <f t="shared" si="75"/>
        <v>27.81625</v>
      </c>
      <c r="BS27" s="293">
        <f t="shared" si="76"/>
        <v>6.2177499999999997</v>
      </c>
      <c r="BT27" s="293">
        <f t="shared" si="77"/>
        <v>41.887999999999998</v>
      </c>
    </row>
    <row r="28" spans="1:72" s="277" customFormat="1" ht="18" customHeight="1" x14ac:dyDescent="0.2">
      <c r="A28" s="278" t="s">
        <v>916</v>
      </c>
      <c r="B28" s="279" t="s">
        <v>917</v>
      </c>
      <c r="C28" s="280" t="s">
        <v>921</v>
      </c>
      <c r="D28" s="281" t="s">
        <v>924</v>
      </c>
      <c r="E28" s="282">
        <v>1</v>
      </c>
      <c r="F28" s="282" t="s">
        <v>923</v>
      </c>
      <c r="G28" s="283">
        <v>10</v>
      </c>
      <c r="H28" s="284">
        <v>2.44</v>
      </c>
      <c r="I28" s="285">
        <v>9100</v>
      </c>
      <c r="J28" s="285">
        <f t="shared" si="51"/>
        <v>22204</v>
      </c>
      <c r="K28" s="283">
        <v>4</v>
      </c>
      <c r="L28" s="285">
        <f>J28*K28%</f>
        <v>888.16</v>
      </c>
      <c r="M28" s="286"/>
      <c r="N28" s="287"/>
      <c r="O28" s="288">
        <v>40</v>
      </c>
      <c r="P28" s="285">
        <v>2960.53</v>
      </c>
      <c r="Q28" s="289">
        <v>30</v>
      </c>
      <c r="R28" s="285">
        <f t="shared" si="52"/>
        <v>7815.81</v>
      </c>
      <c r="S28" s="285">
        <f t="shared" si="53"/>
        <v>27094.799999999999</v>
      </c>
      <c r="T28" s="285">
        <f t="shared" si="54"/>
        <v>27094.799999999999</v>
      </c>
      <c r="U28" s="285">
        <f>ROUND((J28+L28+N28+P28+R28+S28+T28)*E28/E28, 2)</f>
        <v>88058.1</v>
      </c>
      <c r="V28" s="285">
        <f t="shared" si="55"/>
        <v>88058.1</v>
      </c>
      <c r="W28" s="285"/>
      <c r="X28" s="285"/>
      <c r="Y28" s="290"/>
      <c r="Z28" s="291">
        <v>52</v>
      </c>
      <c r="AA28" s="291">
        <v>100</v>
      </c>
      <c r="AB28" s="292"/>
      <c r="AC28" s="293"/>
      <c r="AD28" s="293">
        <f>(J28+L28+(J28+L28)*Q28%)*2.6/1000</f>
        <v>78.051500800000014</v>
      </c>
      <c r="AE28" s="293">
        <f>(J28+L28+(J28+L28)*Q28%)*2.6/1000</f>
        <v>78.051500800000014</v>
      </c>
      <c r="AF28" s="293">
        <f>V28/1000</f>
        <v>88.05810000000001</v>
      </c>
      <c r="AG28" s="293">
        <f>V28/1000</f>
        <v>88.05810000000001</v>
      </c>
      <c r="AH28" s="293">
        <f>V28/1000+AA28</f>
        <v>188.05810000000002</v>
      </c>
      <c r="AI28" s="293">
        <f>V28/1000+AA28*2</f>
        <v>288.05810000000002</v>
      </c>
      <c r="AJ28" s="293">
        <f>V28/1000+AA28*2</f>
        <v>288.05810000000002</v>
      </c>
      <c r="AK28" s="293">
        <f>V28/1000+AA28+(AD28+AE28+AF28+AG28+AH28+AI28+AJ28+288.06)/8/29.3*52</f>
        <v>495.18942288054609</v>
      </c>
      <c r="AL28" s="293"/>
      <c r="AM28" s="293"/>
      <c r="AN28" s="293"/>
      <c r="AO28" s="293">
        <f t="shared" si="56"/>
        <v>156.10300160000003</v>
      </c>
      <c r="AP28" s="293">
        <f t="shared" si="57"/>
        <v>364.17430000000002</v>
      </c>
      <c r="AQ28" s="293">
        <f t="shared" si="58"/>
        <v>1071.3056228805463</v>
      </c>
      <c r="AR28" s="293">
        <f t="shared" si="59"/>
        <v>0</v>
      </c>
      <c r="AS28" s="293">
        <f t="shared" si="60"/>
        <v>1591.5829244805464</v>
      </c>
      <c r="AT28" s="293">
        <f t="shared" si="61"/>
        <v>48.235827494400006</v>
      </c>
      <c r="AU28" s="293">
        <f t="shared" si="62"/>
        <v>112.52985870000001</v>
      </c>
      <c r="AV28" s="293">
        <f t="shared" si="63"/>
        <v>331.03343747008881</v>
      </c>
      <c r="AW28" s="293">
        <f t="shared" si="64"/>
        <v>0</v>
      </c>
      <c r="AX28" s="293">
        <f t="shared" si="65"/>
        <v>491.79912366448883</v>
      </c>
      <c r="AY28" s="294">
        <f>5000/1000/4</f>
        <v>1.25</v>
      </c>
      <c r="AZ28" s="294">
        <f>3500/1000</f>
        <v>3.5</v>
      </c>
      <c r="BA28" s="295">
        <f>5000/1000</f>
        <v>5</v>
      </c>
      <c r="BB28" s="294">
        <f>3500/1000</f>
        <v>3.5</v>
      </c>
      <c r="BC28" s="293"/>
      <c r="BD28" s="293"/>
      <c r="BE28" s="296"/>
      <c r="BF28" s="293">
        <f t="shared" si="78"/>
        <v>4.75</v>
      </c>
      <c r="BG28" s="293">
        <f t="shared" si="66"/>
        <v>1.25</v>
      </c>
      <c r="BH28" s="293">
        <f t="shared" ref="BH28:BH42" si="80">AY28+BA28</f>
        <v>6.25</v>
      </c>
      <c r="BI28" s="293">
        <f t="shared" si="67"/>
        <v>4.75</v>
      </c>
      <c r="BJ28" s="293">
        <f t="shared" si="68"/>
        <v>17</v>
      </c>
      <c r="BK28" s="293">
        <f t="shared" si="79"/>
        <v>1.4677499999999999</v>
      </c>
      <c r="BL28" s="293">
        <f t="shared" si="69"/>
        <v>0.38624999999999998</v>
      </c>
      <c r="BM28" s="293">
        <f t="shared" si="70"/>
        <v>1.9312499999999999</v>
      </c>
      <c r="BN28" s="293">
        <f t="shared" si="71"/>
        <v>1.4677499999999999</v>
      </c>
      <c r="BO28" s="293">
        <f t="shared" si="72"/>
        <v>5.2529999999999992</v>
      </c>
      <c r="BP28" s="293">
        <f t="shared" si="73"/>
        <v>6.2177499999999997</v>
      </c>
      <c r="BQ28" s="293">
        <f t="shared" si="74"/>
        <v>1.63625</v>
      </c>
      <c r="BR28" s="293">
        <f t="shared" si="75"/>
        <v>8.1812500000000004</v>
      </c>
      <c r="BS28" s="293">
        <f t="shared" si="76"/>
        <v>6.2177499999999997</v>
      </c>
      <c r="BT28" s="293">
        <f t="shared" si="77"/>
        <v>22.252999999999997</v>
      </c>
    </row>
    <row r="29" spans="1:72" s="277" customFormat="1" ht="18" customHeight="1" x14ac:dyDescent="0.2">
      <c r="A29" s="278" t="s">
        <v>916</v>
      </c>
      <c r="B29" s="279" t="s">
        <v>917</v>
      </c>
      <c r="C29" s="280" t="s">
        <v>921</v>
      </c>
      <c r="D29" s="281" t="s">
        <v>925</v>
      </c>
      <c r="E29" s="282">
        <v>1</v>
      </c>
      <c r="F29" s="282" t="s">
        <v>923</v>
      </c>
      <c r="G29" s="283">
        <v>10</v>
      </c>
      <c r="H29" s="284">
        <v>2.44</v>
      </c>
      <c r="I29" s="285">
        <v>9100</v>
      </c>
      <c r="J29" s="285">
        <f t="shared" si="51"/>
        <v>22204</v>
      </c>
      <c r="K29" s="283">
        <v>4</v>
      </c>
      <c r="L29" s="285">
        <f>J29*K29%</f>
        <v>888.16</v>
      </c>
      <c r="M29" s="286"/>
      <c r="N29" s="287"/>
      <c r="O29" s="288">
        <v>40</v>
      </c>
      <c r="P29" s="285">
        <v>2960.53</v>
      </c>
      <c r="Q29" s="289">
        <v>30</v>
      </c>
      <c r="R29" s="285">
        <f t="shared" si="52"/>
        <v>7815.81</v>
      </c>
      <c r="S29" s="285">
        <f t="shared" si="53"/>
        <v>27094.799999999999</v>
      </c>
      <c r="T29" s="285">
        <f t="shared" si="54"/>
        <v>27094.799999999999</v>
      </c>
      <c r="U29" s="285">
        <f>ROUND((J29+L29+N29+P29+R29+S29+T29)*E29/E29, 2)</f>
        <v>88058.1</v>
      </c>
      <c r="V29" s="285">
        <f t="shared" si="55"/>
        <v>88058.1</v>
      </c>
      <c r="W29" s="285"/>
      <c r="X29" s="285"/>
      <c r="Y29" s="290"/>
      <c r="Z29" s="291">
        <v>52</v>
      </c>
      <c r="AA29" s="291">
        <v>100</v>
      </c>
      <c r="AB29" s="292"/>
      <c r="AC29" s="293"/>
      <c r="AD29" s="293">
        <f>(J29+L29+(J29+L29)*Q29%)*2.6/1000</f>
        <v>78.051500800000014</v>
      </c>
      <c r="AE29" s="293">
        <f>(J29+L29+(J29+L29)*Q29%)*2.6/1000</f>
        <v>78.051500800000014</v>
      </c>
      <c r="AF29" s="293">
        <f>V29/1000</f>
        <v>88.05810000000001</v>
      </c>
      <c r="AG29" s="293">
        <f>V29/1000</f>
        <v>88.05810000000001</v>
      </c>
      <c r="AH29" s="293">
        <f>V29/1000+AA29</f>
        <v>188.05810000000002</v>
      </c>
      <c r="AI29" s="293">
        <f>V29/1000+AA29*2</f>
        <v>288.05810000000002</v>
      </c>
      <c r="AJ29" s="293">
        <f>V29/1000+AA29*2</f>
        <v>288.05810000000002</v>
      </c>
      <c r="AK29" s="293">
        <f>V29/1000+AA29+(AD29+AE29+AF29+AG29+AH29+AI29+AJ29+288.06)/8/29.3*52</f>
        <v>495.18942288054609</v>
      </c>
      <c r="AL29" s="293"/>
      <c r="AM29" s="293"/>
      <c r="AN29" s="293"/>
      <c r="AO29" s="293">
        <f t="shared" si="56"/>
        <v>156.10300160000003</v>
      </c>
      <c r="AP29" s="293">
        <f t="shared" si="57"/>
        <v>364.17430000000002</v>
      </c>
      <c r="AQ29" s="293">
        <f t="shared" si="58"/>
        <v>1071.3056228805463</v>
      </c>
      <c r="AR29" s="293">
        <f t="shared" si="59"/>
        <v>0</v>
      </c>
      <c r="AS29" s="293">
        <f t="shared" si="60"/>
        <v>1591.5829244805464</v>
      </c>
      <c r="AT29" s="293">
        <f t="shared" si="61"/>
        <v>48.235827494400006</v>
      </c>
      <c r="AU29" s="293">
        <f t="shared" si="62"/>
        <v>112.52985870000001</v>
      </c>
      <c r="AV29" s="293">
        <f t="shared" si="63"/>
        <v>331.03343747008881</v>
      </c>
      <c r="AW29" s="293">
        <f t="shared" si="64"/>
        <v>0</v>
      </c>
      <c r="AX29" s="293">
        <f t="shared" si="65"/>
        <v>491.79912366448883</v>
      </c>
      <c r="AY29" s="294">
        <f>5000/1000/4</f>
        <v>1.25</v>
      </c>
      <c r="AZ29" s="294">
        <f>3500/1000</f>
        <v>3.5</v>
      </c>
      <c r="BA29" s="295">
        <f>5000/1000</f>
        <v>5</v>
      </c>
      <c r="BB29" s="294">
        <f>3500/1000</f>
        <v>3.5</v>
      </c>
      <c r="BC29" s="293"/>
      <c r="BD29" s="293"/>
      <c r="BE29" s="296"/>
      <c r="BF29" s="293">
        <f t="shared" si="78"/>
        <v>4.75</v>
      </c>
      <c r="BG29" s="293">
        <f t="shared" si="66"/>
        <v>1.25</v>
      </c>
      <c r="BH29" s="293">
        <f t="shared" si="80"/>
        <v>6.25</v>
      </c>
      <c r="BI29" s="293">
        <f t="shared" si="67"/>
        <v>4.75</v>
      </c>
      <c r="BJ29" s="293">
        <f t="shared" si="68"/>
        <v>17</v>
      </c>
      <c r="BK29" s="293">
        <f t="shared" si="79"/>
        <v>1.4677499999999999</v>
      </c>
      <c r="BL29" s="293">
        <f t="shared" si="69"/>
        <v>0.38624999999999998</v>
      </c>
      <c r="BM29" s="293">
        <f t="shared" si="70"/>
        <v>1.9312499999999999</v>
      </c>
      <c r="BN29" s="293">
        <f t="shared" si="71"/>
        <v>1.4677499999999999</v>
      </c>
      <c r="BO29" s="293">
        <f t="shared" si="72"/>
        <v>5.2529999999999992</v>
      </c>
      <c r="BP29" s="293">
        <f t="shared" si="73"/>
        <v>6.2177499999999997</v>
      </c>
      <c r="BQ29" s="293">
        <f t="shared" si="74"/>
        <v>1.63625</v>
      </c>
      <c r="BR29" s="293">
        <f t="shared" si="75"/>
        <v>8.1812500000000004</v>
      </c>
      <c r="BS29" s="293">
        <f t="shared" si="76"/>
        <v>6.2177499999999997</v>
      </c>
      <c r="BT29" s="293">
        <f t="shared" si="77"/>
        <v>22.252999999999997</v>
      </c>
    </row>
    <row r="30" spans="1:72" s="277" customFormat="1" ht="26.25" customHeight="1" x14ac:dyDescent="0.2">
      <c r="A30" s="278" t="s">
        <v>916</v>
      </c>
      <c r="B30" s="279" t="s">
        <v>917</v>
      </c>
      <c r="C30" s="280" t="s">
        <v>921</v>
      </c>
      <c r="D30" s="297" t="s">
        <v>926</v>
      </c>
      <c r="E30" s="282">
        <v>1</v>
      </c>
      <c r="F30" s="282" t="s">
        <v>923</v>
      </c>
      <c r="G30" s="283">
        <v>10</v>
      </c>
      <c r="H30" s="284">
        <v>2.44</v>
      </c>
      <c r="I30" s="285">
        <v>9100</v>
      </c>
      <c r="J30" s="285">
        <f t="shared" si="51"/>
        <v>22204</v>
      </c>
      <c r="K30" s="283">
        <v>4</v>
      </c>
      <c r="L30" s="285">
        <f>J30*K30%</f>
        <v>888.16</v>
      </c>
      <c r="M30" s="286"/>
      <c r="N30" s="287"/>
      <c r="O30" s="288">
        <v>40</v>
      </c>
      <c r="P30" s="285">
        <v>2960.53</v>
      </c>
      <c r="Q30" s="289">
        <v>30</v>
      </c>
      <c r="R30" s="285">
        <f t="shared" si="52"/>
        <v>7815.81</v>
      </c>
      <c r="S30" s="285">
        <f t="shared" si="53"/>
        <v>27094.799999999999</v>
      </c>
      <c r="T30" s="285">
        <f t="shared" si="54"/>
        <v>27094.799999999999</v>
      </c>
      <c r="U30" s="285">
        <f>ROUND((J30+L30+N30+P30+R30+S30+T30)*E30/E30, 2)</f>
        <v>88058.1</v>
      </c>
      <c r="V30" s="285">
        <f t="shared" si="55"/>
        <v>88058.1</v>
      </c>
      <c r="W30" s="285"/>
      <c r="X30" s="285"/>
      <c r="Y30" s="290"/>
      <c r="Z30" s="291">
        <f>52/12*6</f>
        <v>26</v>
      </c>
      <c r="AA30" s="291">
        <v>100</v>
      </c>
      <c r="AB30" s="292"/>
      <c r="AC30" s="293"/>
      <c r="AD30" s="293"/>
      <c r="AE30" s="293"/>
      <c r="AF30" s="293">
        <f>V30/1000</f>
        <v>88.05810000000001</v>
      </c>
      <c r="AG30" s="293">
        <f>V30/1000</f>
        <v>88.05810000000001</v>
      </c>
      <c r="AH30" s="293">
        <f>V30/1000+AA30</f>
        <v>188.05810000000002</v>
      </c>
      <c r="AI30" s="293">
        <f>V30/1000+AA30*2</f>
        <v>288.05810000000002</v>
      </c>
      <c r="AJ30" s="293">
        <f>V30/1000+AA30*2</f>
        <v>288.05810000000002</v>
      </c>
      <c r="AK30" s="293">
        <f>V30/1000+AA30+(AD30+AE30+AF30+AG30+AH30+AI30+AJ30+288.06)/8/29.3*26</f>
        <v>324.30858208191125</v>
      </c>
      <c r="AL30" s="293"/>
      <c r="AM30" s="293"/>
      <c r="AN30" s="293"/>
      <c r="AO30" s="293">
        <f t="shared" si="56"/>
        <v>0</v>
      </c>
      <c r="AP30" s="293">
        <f t="shared" si="57"/>
        <v>364.17430000000002</v>
      </c>
      <c r="AQ30" s="293">
        <f t="shared" si="58"/>
        <v>900.4247820819113</v>
      </c>
      <c r="AR30" s="293">
        <f t="shared" si="59"/>
        <v>0</v>
      </c>
      <c r="AS30" s="293">
        <f t="shared" si="60"/>
        <v>1264.5990820819113</v>
      </c>
      <c r="AT30" s="293">
        <f t="shared" si="61"/>
        <v>0</v>
      </c>
      <c r="AU30" s="293">
        <f t="shared" si="62"/>
        <v>112.52985870000001</v>
      </c>
      <c r="AV30" s="293">
        <f t="shared" si="63"/>
        <v>278.2312576633106</v>
      </c>
      <c r="AW30" s="293">
        <f t="shared" si="64"/>
        <v>0</v>
      </c>
      <c r="AX30" s="293">
        <f t="shared" si="65"/>
        <v>390.76111636331063</v>
      </c>
      <c r="AY30" s="294"/>
      <c r="AZ30" s="294"/>
      <c r="BA30" s="295"/>
      <c r="BB30" s="294"/>
      <c r="BC30" s="293"/>
      <c r="BD30" s="293"/>
      <c r="BE30" s="296"/>
      <c r="BF30" s="293">
        <f t="shared" si="78"/>
        <v>0</v>
      </c>
      <c r="BG30" s="293">
        <f t="shared" si="66"/>
        <v>0</v>
      </c>
      <c r="BH30" s="293">
        <f t="shared" si="80"/>
        <v>0</v>
      </c>
      <c r="BI30" s="293">
        <f t="shared" si="67"/>
        <v>0</v>
      </c>
      <c r="BJ30" s="293">
        <f t="shared" si="68"/>
        <v>0</v>
      </c>
      <c r="BK30" s="293">
        <f t="shared" si="79"/>
        <v>0</v>
      </c>
      <c r="BL30" s="293">
        <f t="shared" si="69"/>
        <v>0</v>
      </c>
      <c r="BM30" s="293">
        <f t="shared" si="70"/>
        <v>0</v>
      </c>
      <c r="BN30" s="293">
        <f t="shared" si="71"/>
        <v>0</v>
      </c>
      <c r="BO30" s="293">
        <f t="shared" si="72"/>
        <v>0</v>
      </c>
      <c r="BP30" s="293">
        <f t="shared" si="73"/>
        <v>0</v>
      </c>
      <c r="BQ30" s="293">
        <f t="shared" si="74"/>
        <v>0</v>
      </c>
      <c r="BR30" s="293">
        <f t="shared" si="75"/>
        <v>0</v>
      </c>
      <c r="BS30" s="293">
        <f t="shared" si="76"/>
        <v>0</v>
      </c>
      <c r="BT30" s="293">
        <f t="shared" si="77"/>
        <v>0</v>
      </c>
    </row>
    <row r="31" spans="1:72" ht="18" customHeight="1" x14ac:dyDescent="0.2">
      <c r="A31" s="227" t="s">
        <v>916</v>
      </c>
      <c r="B31" s="228" t="s">
        <v>917</v>
      </c>
      <c r="C31" s="229" t="s">
        <v>927</v>
      </c>
      <c r="D31" s="298" t="s">
        <v>928</v>
      </c>
      <c r="E31" s="231">
        <v>1</v>
      </c>
      <c r="F31" s="231" t="s">
        <v>920</v>
      </c>
      <c r="G31" s="219">
        <v>10</v>
      </c>
      <c r="H31" s="275">
        <v>2.44</v>
      </c>
      <c r="I31" s="238">
        <v>9100</v>
      </c>
      <c r="J31" s="235">
        <f t="shared" si="51"/>
        <v>22204</v>
      </c>
      <c r="K31" s="275"/>
      <c r="L31" s="238"/>
      <c r="M31" s="245"/>
      <c r="N31" s="238"/>
      <c r="O31" s="245"/>
      <c r="P31" s="238"/>
      <c r="Q31" s="246">
        <v>30</v>
      </c>
      <c r="R31" s="238">
        <f t="shared" si="52"/>
        <v>6661.2</v>
      </c>
      <c r="S31" s="238">
        <f t="shared" si="53"/>
        <v>23092.16</v>
      </c>
      <c r="T31" s="238">
        <f t="shared" si="54"/>
        <v>23092.16</v>
      </c>
      <c r="U31" s="238">
        <f>ROUND((J31+L31+N31+P31+R31+S31+T31)*E31, 2)</f>
        <v>75049.52</v>
      </c>
      <c r="V31" s="238">
        <f t="shared" si="55"/>
        <v>75049.52</v>
      </c>
      <c r="W31" s="238">
        <f>V31*0.5</f>
        <v>37524.76</v>
      </c>
      <c r="X31" s="238"/>
      <c r="Y31" s="299"/>
      <c r="Z31" s="219">
        <f>36+7</f>
        <v>43</v>
      </c>
      <c r="AA31" s="219"/>
      <c r="AB31" s="238">
        <f>W31/12/1000</f>
        <v>3.1270633333333335</v>
      </c>
      <c r="AC31" s="240">
        <f>W31/1000+AB31</f>
        <v>40.651823333333333</v>
      </c>
      <c r="AD31" s="240">
        <f>W31/1000+AB31</f>
        <v>40.651823333333333</v>
      </c>
      <c r="AE31" s="240">
        <f>W31/1000+AB31</f>
        <v>40.651823333333333</v>
      </c>
      <c r="AF31" s="240">
        <f>W31/1000+AB31</f>
        <v>40.651823333333333</v>
      </c>
      <c r="AG31" s="240">
        <f>W31/1000+AB31</f>
        <v>40.651823333333333</v>
      </c>
      <c r="AH31" s="240">
        <f>W31/1000+AB31</f>
        <v>40.651823333333333</v>
      </c>
      <c r="AI31" s="240">
        <f>W31/1000+AB31</f>
        <v>40.651823333333333</v>
      </c>
      <c r="AJ31" s="240">
        <f>W31/1000+AB31</f>
        <v>40.651823333333333</v>
      </c>
      <c r="AK31" s="240">
        <f>W31/1000+AB31</f>
        <v>40.651823333333333</v>
      </c>
      <c r="AL31" s="240">
        <f>W31/1000+AB31</f>
        <v>40.651823333333333</v>
      </c>
      <c r="AM31" s="240">
        <f>W31/1000+AB31</f>
        <v>40.651823333333333</v>
      </c>
      <c r="AN31" s="240">
        <f>W31/1000+AB31</f>
        <v>40.651823333333333</v>
      </c>
      <c r="AO31" s="240">
        <f t="shared" si="56"/>
        <v>121.95546999999999</v>
      </c>
      <c r="AP31" s="240">
        <f t="shared" si="57"/>
        <v>121.95546999999999</v>
      </c>
      <c r="AQ31" s="240">
        <f t="shared" si="58"/>
        <v>121.95546999999999</v>
      </c>
      <c r="AR31" s="240">
        <f t="shared" si="59"/>
        <v>121.95546999999999</v>
      </c>
      <c r="AS31" s="240">
        <f t="shared" si="60"/>
        <v>487.82187999999996</v>
      </c>
      <c r="AT31" s="240">
        <f t="shared" si="61"/>
        <v>37.68424023</v>
      </c>
      <c r="AU31" s="240">
        <f t="shared" si="62"/>
        <v>37.68424023</v>
      </c>
      <c r="AV31" s="240">
        <f t="shared" si="63"/>
        <v>37.68424023</v>
      </c>
      <c r="AW31" s="240">
        <f t="shared" si="64"/>
        <v>37.68424023</v>
      </c>
      <c r="AX31" s="240">
        <f t="shared" si="65"/>
        <v>150.73696092</v>
      </c>
      <c r="AY31" s="224">
        <f>5000/1000/4</f>
        <v>1.25</v>
      </c>
      <c r="AZ31" s="224">
        <f>3500/1000</f>
        <v>3.5</v>
      </c>
      <c r="BA31" s="225">
        <f>5000/1000</f>
        <v>5</v>
      </c>
      <c r="BB31" s="224">
        <f>3500/1000</f>
        <v>3.5</v>
      </c>
      <c r="BC31" s="240"/>
      <c r="BD31" s="240"/>
      <c r="BE31" s="250"/>
      <c r="BF31" s="240">
        <f t="shared" si="78"/>
        <v>4.75</v>
      </c>
      <c r="BG31" s="240">
        <f t="shared" si="66"/>
        <v>1.25</v>
      </c>
      <c r="BH31" s="240">
        <f t="shared" si="80"/>
        <v>6.25</v>
      </c>
      <c r="BI31" s="240">
        <f t="shared" si="67"/>
        <v>4.75</v>
      </c>
      <c r="BJ31" s="240">
        <f t="shared" si="68"/>
        <v>17</v>
      </c>
      <c r="BK31" s="240">
        <f t="shared" si="79"/>
        <v>1.4677499999999999</v>
      </c>
      <c r="BL31" s="240">
        <f t="shared" si="69"/>
        <v>0.38624999999999998</v>
      </c>
      <c r="BM31" s="240">
        <f t="shared" si="70"/>
        <v>1.9312499999999999</v>
      </c>
      <c r="BN31" s="240">
        <f t="shared" si="71"/>
        <v>1.4677499999999999</v>
      </c>
      <c r="BO31" s="240">
        <f t="shared" si="72"/>
        <v>5.2529999999999992</v>
      </c>
      <c r="BP31" s="240">
        <f t="shared" si="73"/>
        <v>6.2177499999999997</v>
      </c>
      <c r="BQ31" s="240">
        <f t="shared" si="74"/>
        <v>1.63625</v>
      </c>
      <c r="BR31" s="240">
        <f t="shared" si="75"/>
        <v>8.1812500000000004</v>
      </c>
      <c r="BS31" s="240">
        <f t="shared" si="76"/>
        <v>6.2177499999999997</v>
      </c>
      <c r="BT31" s="240">
        <f t="shared" si="77"/>
        <v>22.252999999999997</v>
      </c>
    </row>
    <row r="32" spans="1:72" s="277" customFormat="1" ht="27.75" customHeight="1" x14ac:dyDescent="0.2">
      <c r="A32" s="278" t="s">
        <v>916</v>
      </c>
      <c r="B32" s="279" t="s">
        <v>917</v>
      </c>
      <c r="C32" s="280" t="s">
        <v>929</v>
      </c>
      <c r="D32" s="300" t="s">
        <v>930</v>
      </c>
      <c r="E32" s="282">
        <v>1</v>
      </c>
      <c r="F32" s="282" t="s">
        <v>923</v>
      </c>
      <c r="G32" s="283">
        <v>9</v>
      </c>
      <c r="H32" s="284">
        <v>2.2200000000000002</v>
      </c>
      <c r="I32" s="285">
        <v>9100</v>
      </c>
      <c r="J32" s="285">
        <f t="shared" si="51"/>
        <v>20202</v>
      </c>
      <c r="K32" s="283">
        <v>4</v>
      </c>
      <c r="L32" s="285">
        <f>J32*K32%</f>
        <v>808.08</v>
      </c>
      <c r="M32" s="286"/>
      <c r="N32" s="287"/>
      <c r="O32" s="288">
        <v>40</v>
      </c>
      <c r="P32" s="285">
        <v>2693.6</v>
      </c>
      <c r="Q32" s="289">
        <v>30</v>
      </c>
      <c r="R32" s="285">
        <f t="shared" si="52"/>
        <v>7111.1</v>
      </c>
      <c r="S32" s="285">
        <f t="shared" si="53"/>
        <v>24651.82</v>
      </c>
      <c r="T32" s="285">
        <f t="shared" si="54"/>
        <v>24651.82</v>
      </c>
      <c r="U32" s="285">
        <f>ROUND((J32+L32+N32+P32+R32+S32+T32)*E32/E32, 2)</f>
        <v>80118.42</v>
      </c>
      <c r="V32" s="285">
        <f t="shared" si="55"/>
        <v>80118.42</v>
      </c>
      <c r="W32" s="285"/>
      <c r="X32" s="285"/>
      <c r="Y32" s="290"/>
      <c r="Z32" s="291">
        <v>52</v>
      </c>
      <c r="AA32" s="291">
        <v>100</v>
      </c>
      <c r="AB32" s="292"/>
      <c r="AC32" s="293"/>
      <c r="AD32" s="293">
        <f>(J32+L32+(J32+L32)*Q32%)*2.6/1000</f>
        <v>71.014070400000008</v>
      </c>
      <c r="AE32" s="293">
        <f>(J32+L32+(J32+L32)*Q32%)*2.6/1000</f>
        <v>71.014070400000008</v>
      </c>
      <c r="AF32" s="293">
        <f>V32/1000</f>
        <v>80.11842</v>
      </c>
      <c r="AG32" s="293">
        <f>V32/1000</f>
        <v>80.11842</v>
      </c>
      <c r="AH32" s="293">
        <f>V32/1000+AA32</f>
        <v>180.11842000000001</v>
      </c>
      <c r="AI32" s="293">
        <f>V32/1000+AA32</f>
        <v>180.11842000000001</v>
      </c>
      <c r="AJ32" s="293">
        <f>V32/1000+AA32</f>
        <v>180.11842000000001</v>
      </c>
      <c r="AK32" s="293">
        <f>V32/1000+AA32+(AD32+AE32+AF32+AG32+AH32+AI32+AJ32+180.12)/8/29.3*52</f>
        <v>407.00618673037548</v>
      </c>
      <c r="AL32" s="293"/>
      <c r="AM32" s="293"/>
      <c r="AN32" s="293"/>
      <c r="AO32" s="293">
        <f t="shared" si="56"/>
        <v>142.02814080000002</v>
      </c>
      <c r="AP32" s="293">
        <f t="shared" si="57"/>
        <v>340.35526000000004</v>
      </c>
      <c r="AQ32" s="293">
        <f t="shared" si="58"/>
        <v>767.2430267303755</v>
      </c>
      <c r="AR32" s="293">
        <f t="shared" si="59"/>
        <v>0</v>
      </c>
      <c r="AS32" s="293">
        <f t="shared" si="60"/>
        <v>1249.6264275303756</v>
      </c>
      <c r="AT32" s="293">
        <f t="shared" si="61"/>
        <v>43.886695507200002</v>
      </c>
      <c r="AU32" s="293">
        <f t="shared" si="62"/>
        <v>105.16977534000002</v>
      </c>
      <c r="AV32" s="293">
        <f t="shared" si="63"/>
        <v>237.07809525968602</v>
      </c>
      <c r="AW32" s="293">
        <f t="shared" si="64"/>
        <v>0</v>
      </c>
      <c r="AX32" s="293">
        <f t="shared" si="65"/>
        <v>386.13456610688604</v>
      </c>
      <c r="AY32" s="294">
        <f>5000/1000/4</f>
        <v>1.25</v>
      </c>
      <c r="AZ32" s="294">
        <f>3500/1000</f>
        <v>3.5</v>
      </c>
      <c r="BA32" s="295">
        <f>5000/1000</f>
        <v>5</v>
      </c>
      <c r="BB32" s="294">
        <f>3500/1000</f>
        <v>3.5</v>
      </c>
      <c r="BC32" s="293"/>
      <c r="BD32" s="293"/>
      <c r="BE32" s="296"/>
      <c r="BF32" s="293">
        <f t="shared" si="78"/>
        <v>4.75</v>
      </c>
      <c r="BG32" s="293">
        <f t="shared" si="66"/>
        <v>1.25</v>
      </c>
      <c r="BH32" s="293">
        <f t="shared" si="80"/>
        <v>6.25</v>
      </c>
      <c r="BI32" s="293">
        <f t="shared" si="67"/>
        <v>4.75</v>
      </c>
      <c r="BJ32" s="293">
        <f t="shared" si="68"/>
        <v>17</v>
      </c>
      <c r="BK32" s="293">
        <f t="shared" si="79"/>
        <v>1.4677499999999999</v>
      </c>
      <c r="BL32" s="293">
        <f t="shared" si="69"/>
        <v>0.38624999999999998</v>
      </c>
      <c r="BM32" s="293">
        <f t="shared" si="70"/>
        <v>1.9312499999999999</v>
      </c>
      <c r="BN32" s="293">
        <f t="shared" si="71"/>
        <v>1.4677499999999999</v>
      </c>
      <c r="BO32" s="293">
        <f t="shared" si="72"/>
        <v>5.2529999999999992</v>
      </c>
      <c r="BP32" s="293">
        <f t="shared" si="73"/>
        <v>6.2177499999999997</v>
      </c>
      <c r="BQ32" s="293">
        <f t="shared" si="74"/>
        <v>1.63625</v>
      </c>
      <c r="BR32" s="293">
        <f t="shared" si="75"/>
        <v>8.1812500000000004</v>
      </c>
      <c r="BS32" s="293">
        <f t="shared" si="76"/>
        <v>6.2177499999999997</v>
      </c>
      <c r="BT32" s="293">
        <f t="shared" si="77"/>
        <v>22.252999999999997</v>
      </c>
    </row>
    <row r="33" spans="1:72" s="277" customFormat="1" ht="27.75" customHeight="1" x14ac:dyDescent="0.2">
      <c r="A33" s="278" t="s">
        <v>916</v>
      </c>
      <c r="B33" s="279" t="s">
        <v>917</v>
      </c>
      <c r="C33" s="280" t="s">
        <v>929</v>
      </c>
      <c r="D33" s="297" t="s">
        <v>926</v>
      </c>
      <c r="E33" s="282">
        <v>1</v>
      </c>
      <c r="F33" s="282" t="s">
        <v>923</v>
      </c>
      <c r="G33" s="283">
        <v>9</v>
      </c>
      <c r="H33" s="284">
        <v>2.2200000000000002</v>
      </c>
      <c r="I33" s="285">
        <v>9100</v>
      </c>
      <c r="J33" s="285">
        <f t="shared" si="51"/>
        <v>20202</v>
      </c>
      <c r="K33" s="283">
        <v>4</v>
      </c>
      <c r="L33" s="285">
        <f>J33*K33%</f>
        <v>808.08</v>
      </c>
      <c r="M33" s="286"/>
      <c r="N33" s="287"/>
      <c r="O33" s="288">
        <v>40</v>
      </c>
      <c r="P33" s="285">
        <v>2693.6</v>
      </c>
      <c r="Q33" s="289">
        <v>30</v>
      </c>
      <c r="R33" s="285">
        <f t="shared" si="52"/>
        <v>7111.1</v>
      </c>
      <c r="S33" s="285">
        <f t="shared" si="53"/>
        <v>24651.82</v>
      </c>
      <c r="T33" s="285">
        <f t="shared" si="54"/>
        <v>24651.82</v>
      </c>
      <c r="U33" s="285">
        <f>ROUND((J33+L33+N33+P33+R33+S33+T33)*E33/E33, 2)</f>
        <v>80118.42</v>
      </c>
      <c r="V33" s="285">
        <f t="shared" si="55"/>
        <v>80118.42</v>
      </c>
      <c r="W33" s="285"/>
      <c r="X33" s="285"/>
      <c r="Y33" s="290"/>
      <c r="Z33" s="291">
        <f>52/12*6</f>
        <v>26</v>
      </c>
      <c r="AA33" s="291">
        <v>100</v>
      </c>
      <c r="AB33" s="292"/>
      <c r="AC33" s="293"/>
      <c r="AD33" s="293"/>
      <c r="AE33" s="293"/>
      <c r="AF33" s="293">
        <f>V33/1000</f>
        <v>80.11842</v>
      </c>
      <c r="AG33" s="293">
        <f>V33/1000</f>
        <v>80.11842</v>
      </c>
      <c r="AH33" s="293">
        <f>V33/1000+AA33</f>
        <v>180.11842000000001</v>
      </c>
      <c r="AI33" s="293">
        <f>V33/1000+AA33</f>
        <v>180.11842000000001</v>
      </c>
      <c r="AJ33" s="293">
        <f>V33/1000+AA33</f>
        <v>180.11842000000001</v>
      </c>
      <c r="AK33" s="293">
        <f>V33/1000+AA33+(AF33+AG33+AH33+AI33+AJ33+180.12)/6/29.3*26</f>
        <v>310.37163160409557</v>
      </c>
      <c r="AL33" s="293"/>
      <c r="AM33" s="293"/>
      <c r="AN33" s="293"/>
      <c r="AO33" s="293">
        <f t="shared" si="56"/>
        <v>0</v>
      </c>
      <c r="AP33" s="293">
        <f t="shared" si="57"/>
        <v>340.35526000000004</v>
      </c>
      <c r="AQ33" s="293">
        <f t="shared" si="58"/>
        <v>670.6084716040956</v>
      </c>
      <c r="AR33" s="293">
        <f t="shared" si="59"/>
        <v>0</v>
      </c>
      <c r="AS33" s="293">
        <f t="shared" si="60"/>
        <v>1010.9637316040956</v>
      </c>
      <c r="AT33" s="293">
        <f t="shared" si="61"/>
        <v>0</v>
      </c>
      <c r="AU33" s="293">
        <f t="shared" si="62"/>
        <v>105.16977534000002</v>
      </c>
      <c r="AV33" s="293">
        <f t="shared" si="63"/>
        <v>207.21801772566553</v>
      </c>
      <c r="AW33" s="293">
        <f t="shared" si="64"/>
        <v>0</v>
      </c>
      <c r="AX33" s="293">
        <f t="shared" si="65"/>
        <v>312.38779306566556</v>
      </c>
      <c r="AY33" s="294"/>
      <c r="AZ33" s="294"/>
      <c r="BA33" s="295"/>
      <c r="BB33" s="294"/>
      <c r="BC33" s="293"/>
      <c r="BD33" s="293"/>
      <c r="BE33" s="296"/>
      <c r="BF33" s="293">
        <f t="shared" si="78"/>
        <v>0</v>
      </c>
      <c r="BG33" s="293">
        <f t="shared" si="66"/>
        <v>0</v>
      </c>
      <c r="BH33" s="293">
        <f t="shared" si="80"/>
        <v>0</v>
      </c>
      <c r="BI33" s="293">
        <f t="shared" si="67"/>
        <v>0</v>
      </c>
      <c r="BJ33" s="293">
        <f t="shared" si="68"/>
        <v>0</v>
      </c>
      <c r="BK33" s="293">
        <f t="shared" si="79"/>
        <v>0</v>
      </c>
      <c r="BL33" s="293">
        <f t="shared" si="69"/>
        <v>0</v>
      </c>
      <c r="BM33" s="293">
        <f t="shared" si="70"/>
        <v>0</v>
      </c>
      <c r="BN33" s="293">
        <f t="shared" si="71"/>
        <v>0</v>
      </c>
      <c r="BO33" s="293">
        <f t="shared" si="72"/>
        <v>0</v>
      </c>
      <c r="BP33" s="293">
        <f t="shared" si="73"/>
        <v>0</v>
      </c>
      <c r="BQ33" s="293">
        <f t="shared" si="74"/>
        <v>0</v>
      </c>
      <c r="BR33" s="293">
        <f t="shared" si="75"/>
        <v>0</v>
      </c>
      <c r="BS33" s="293">
        <f t="shared" si="76"/>
        <v>0</v>
      </c>
      <c r="BT33" s="293">
        <f t="shared" si="77"/>
        <v>0</v>
      </c>
    </row>
    <row r="34" spans="1:72" s="277" customFormat="1" ht="27.75" customHeight="1" x14ac:dyDescent="0.2">
      <c r="A34" s="278" t="s">
        <v>916</v>
      </c>
      <c r="B34" s="279" t="s">
        <v>917</v>
      </c>
      <c r="C34" s="280" t="s">
        <v>929</v>
      </c>
      <c r="D34" s="297" t="s">
        <v>926</v>
      </c>
      <c r="E34" s="282">
        <v>1</v>
      </c>
      <c r="F34" s="282" t="s">
        <v>923</v>
      </c>
      <c r="G34" s="283">
        <v>9</v>
      </c>
      <c r="H34" s="284">
        <v>2.2200000000000002</v>
      </c>
      <c r="I34" s="285">
        <v>9100</v>
      </c>
      <c r="J34" s="285">
        <f t="shared" si="51"/>
        <v>20202</v>
      </c>
      <c r="K34" s="283">
        <v>4</v>
      </c>
      <c r="L34" s="285">
        <f>J34*K34%</f>
        <v>808.08</v>
      </c>
      <c r="M34" s="286"/>
      <c r="N34" s="287"/>
      <c r="O34" s="288">
        <v>40</v>
      </c>
      <c r="P34" s="285">
        <v>2693.6</v>
      </c>
      <c r="Q34" s="289">
        <v>30</v>
      </c>
      <c r="R34" s="285">
        <f t="shared" si="52"/>
        <v>7111.1</v>
      </c>
      <c r="S34" s="285">
        <f t="shared" si="53"/>
        <v>24651.82</v>
      </c>
      <c r="T34" s="285">
        <f t="shared" si="54"/>
        <v>24651.82</v>
      </c>
      <c r="U34" s="285">
        <f>ROUND((J34+L34+N34+P34+R34+S34+T34)*E34/E34, 2)</f>
        <v>80118.42</v>
      </c>
      <c r="V34" s="285">
        <f t="shared" si="55"/>
        <v>80118.42</v>
      </c>
      <c r="W34" s="285"/>
      <c r="X34" s="285"/>
      <c r="Y34" s="290"/>
      <c r="Z34" s="291">
        <f>52/12*6</f>
        <v>26</v>
      </c>
      <c r="AA34" s="291">
        <v>100</v>
      </c>
      <c r="AB34" s="292"/>
      <c r="AC34" s="293"/>
      <c r="AD34" s="293"/>
      <c r="AE34" s="293"/>
      <c r="AF34" s="293">
        <f>V34/1000</f>
        <v>80.11842</v>
      </c>
      <c r="AG34" s="293">
        <f>V34/1000</f>
        <v>80.11842</v>
      </c>
      <c r="AH34" s="293">
        <f>V34/1000+AA34</f>
        <v>180.11842000000001</v>
      </c>
      <c r="AI34" s="293">
        <f>V34/1000+AA34</f>
        <v>180.11842000000001</v>
      </c>
      <c r="AJ34" s="293">
        <f>V34/1000+AA34</f>
        <v>180.11842000000001</v>
      </c>
      <c r="AK34" s="293">
        <f>V34/1000+AA34+(AF34+AG34+AH34+AI34+AJ34+180.12)/6/29.3*26</f>
        <v>310.37163160409557</v>
      </c>
      <c r="AL34" s="293"/>
      <c r="AM34" s="293"/>
      <c r="AN34" s="293"/>
      <c r="AO34" s="293">
        <f t="shared" si="56"/>
        <v>0</v>
      </c>
      <c r="AP34" s="293">
        <f t="shared" si="57"/>
        <v>340.35526000000004</v>
      </c>
      <c r="AQ34" s="293">
        <f t="shared" si="58"/>
        <v>670.6084716040956</v>
      </c>
      <c r="AR34" s="293">
        <f t="shared" si="59"/>
        <v>0</v>
      </c>
      <c r="AS34" s="293">
        <f t="shared" si="60"/>
        <v>1010.9637316040956</v>
      </c>
      <c r="AT34" s="293">
        <f t="shared" si="61"/>
        <v>0</v>
      </c>
      <c r="AU34" s="293">
        <f t="shared" si="62"/>
        <v>105.16977534000002</v>
      </c>
      <c r="AV34" s="293">
        <f t="shared" si="63"/>
        <v>207.21801772566553</v>
      </c>
      <c r="AW34" s="293">
        <f t="shared" si="64"/>
        <v>0</v>
      </c>
      <c r="AX34" s="293">
        <f t="shared" si="65"/>
        <v>312.38779306566556</v>
      </c>
      <c r="AY34" s="294"/>
      <c r="AZ34" s="294"/>
      <c r="BA34" s="295"/>
      <c r="BB34" s="294"/>
      <c r="BC34" s="293"/>
      <c r="BD34" s="293"/>
      <c r="BE34" s="296"/>
      <c r="BF34" s="293">
        <f t="shared" si="78"/>
        <v>0</v>
      </c>
      <c r="BG34" s="293">
        <f t="shared" si="66"/>
        <v>0</v>
      </c>
      <c r="BH34" s="293">
        <f t="shared" si="80"/>
        <v>0</v>
      </c>
      <c r="BI34" s="293">
        <f t="shared" si="67"/>
        <v>0</v>
      </c>
      <c r="BJ34" s="293">
        <f t="shared" si="68"/>
        <v>0</v>
      </c>
      <c r="BK34" s="293">
        <f t="shared" si="79"/>
        <v>0</v>
      </c>
      <c r="BL34" s="293">
        <f t="shared" si="69"/>
        <v>0</v>
      </c>
      <c r="BM34" s="293">
        <f t="shared" si="70"/>
        <v>0</v>
      </c>
      <c r="BN34" s="293">
        <f t="shared" si="71"/>
        <v>0</v>
      </c>
      <c r="BO34" s="293">
        <f t="shared" si="72"/>
        <v>0</v>
      </c>
      <c r="BP34" s="293">
        <f t="shared" si="73"/>
        <v>0</v>
      </c>
      <c r="BQ34" s="293">
        <f t="shared" si="74"/>
        <v>0</v>
      </c>
      <c r="BR34" s="293">
        <f t="shared" si="75"/>
        <v>0</v>
      </c>
      <c r="BS34" s="293">
        <f t="shared" si="76"/>
        <v>0</v>
      </c>
      <c r="BT34" s="293">
        <f t="shared" si="77"/>
        <v>0</v>
      </c>
    </row>
    <row r="35" spans="1:72" s="277" customFormat="1" ht="27.75" customHeight="1" x14ac:dyDescent="0.2">
      <c r="A35" s="278" t="s">
        <v>916</v>
      </c>
      <c r="B35" s="279" t="s">
        <v>917</v>
      </c>
      <c r="C35" s="280" t="s">
        <v>929</v>
      </c>
      <c r="D35" s="297" t="s">
        <v>926</v>
      </c>
      <c r="E35" s="282">
        <v>1</v>
      </c>
      <c r="F35" s="282" t="s">
        <v>923</v>
      </c>
      <c r="G35" s="283">
        <v>9</v>
      </c>
      <c r="H35" s="284">
        <v>2.2200000000000002</v>
      </c>
      <c r="I35" s="285">
        <v>9100</v>
      </c>
      <c r="J35" s="285">
        <f t="shared" si="51"/>
        <v>20202</v>
      </c>
      <c r="K35" s="283">
        <v>4</v>
      </c>
      <c r="L35" s="285">
        <f>J35*K35%</f>
        <v>808.08</v>
      </c>
      <c r="M35" s="286"/>
      <c r="N35" s="287"/>
      <c r="O35" s="288">
        <v>40</v>
      </c>
      <c r="P35" s="285">
        <v>2693.6</v>
      </c>
      <c r="Q35" s="289">
        <v>30</v>
      </c>
      <c r="R35" s="285">
        <f t="shared" si="52"/>
        <v>7111.1</v>
      </c>
      <c r="S35" s="285">
        <f t="shared" si="53"/>
        <v>24651.82</v>
      </c>
      <c r="T35" s="285">
        <f t="shared" si="54"/>
        <v>24651.82</v>
      </c>
      <c r="U35" s="285">
        <f>ROUND((J35+L35+N35+P35+R35+S35+T35)*E35/E35, 2)</f>
        <v>80118.42</v>
      </c>
      <c r="V35" s="285">
        <f t="shared" si="55"/>
        <v>80118.42</v>
      </c>
      <c r="W35" s="285"/>
      <c r="X35" s="285"/>
      <c r="Y35" s="290"/>
      <c r="Z35" s="291">
        <f>52/12*6</f>
        <v>26</v>
      </c>
      <c r="AA35" s="291">
        <v>100</v>
      </c>
      <c r="AB35" s="292"/>
      <c r="AC35" s="293"/>
      <c r="AD35" s="293"/>
      <c r="AE35" s="293"/>
      <c r="AF35" s="293">
        <f>V35/1000</f>
        <v>80.11842</v>
      </c>
      <c r="AG35" s="293">
        <f>V35/1000</f>
        <v>80.11842</v>
      </c>
      <c r="AH35" s="293">
        <f>V35/1000+AA35</f>
        <v>180.11842000000001</v>
      </c>
      <c r="AI35" s="293">
        <f>V35/1000+AA35</f>
        <v>180.11842000000001</v>
      </c>
      <c r="AJ35" s="293">
        <f>V35/1000+AA35</f>
        <v>180.11842000000001</v>
      </c>
      <c r="AK35" s="293">
        <f>V35/1000+AA35+(AF35+AG35+AH35+AI35+AJ35+180.12)/6/29.3*26</f>
        <v>310.37163160409557</v>
      </c>
      <c r="AL35" s="293"/>
      <c r="AM35" s="293"/>
      <c r="AN35" s="293"/>
      <c r="AO35" s="293">
        <f t="shared" si="56"/>
        <v>0</v>
      </c>
      <c r="AP35" s="293">
        <f t="shared" si="57"/>
        <v>340.35526000000004</v>
      </c>
      <c r="AQ35" s="293">
        <f t="shared" si="58"/>
        <v>670.6084716040956</v>
      </c>
      <c r="AR35" s="293">
        <f t="shared" si="59"/>
        <v>0</v>
      </c>
      <c r="AS35" s="293">
        <f t="shared" si="60"/>
        <v>1010.9637316040956</v>
      </c>
      <c r="AT35" s="293">
        <f t="shared" si="61"/>
        <v>0</v>
      </c>
      <c r="AU35" s="293">
        <f t="shared" si="62"/>
        <v>105.16977534000002</v>
      </c>
      <c r="AV35" s="293">
        <f t="shared" si="63"/>
        <v>207.21801772566553</v>
      </c>
      <c r="AW35" s="293">
        <f t="shared" si="64"/>
        <v>0</v>
      </c>
      <c r="AX35" s="293">
        <f t="shared" si="65"/>
        <v>312.38779306566556</v>
      </c>
      <c r="AY35" s="294"/>
      <c r="AZ35" s="294"/>
      <c r="BA35" s="295"/>
      <c r="BB35" s="294"/>
      <c r="BC35" s="293"/>
      <c r="BD35" s="293"/>
      <c r="BE35" s="296"/>
      <c r="BF35" s="293">
        <f t="shared" si="78"/>
        <v>0</v>
      </c>
      <c r="BG35" s="293">
        <f t="shared" si="66"/>
        <v>0</v>
      </c>
      <c r="BH35" s="293">
        <f t="shared" si="80"/>
        <v>0</v>
      </c>
      <c r="BI35" s="293">
        <f t="shared" si="67"/>
        <v>0</v>
      </c>
      <c r="BJ35" s="293">
        <f t="shared" si="68"/>
        <v>0</v>
      </c>
      <c r="BK35" s="293">
        <f t="shared" si="79"/>
        <v>0</v>
      </c>
      <c r="BL35" s="293">
        <f t="shared" si="69"/>
        <v>0</v>
      </c>
      <c r="BM35" s="293">
        <f t="shared" si="70"/>
        <v>0</v>
      </c>
      <c r="BN35" s="293">
        <f t="shared" si="71"/>
        <v>0</v>
      </c>
      <c r="BO35" s="293">
        <f t="shared" si="72"/>
        <v>0</v>
      </c>
      <c r="BP35" s="293">
        <f t="shared" si="73"/>
        <v>0</v>
      </c>
      <c r="BQ35" s="293">
        <f t="shared" si="74"/>
        <v>0</v>
      </c>
      <c r="BR35" s="293">
        <f t="shared" si="75"/>
        <v>0</v>
      </c>
      <c r="BS35" s="293">
        <f t="shared" si="76"/>
        <v>0</v>
      </c>
      <c r="BT35" s="293">
        <f t="shared" si="77"/>
        <v>0</v>
      </c>
    </row>
    <row r="36" spans="1:72" ht="26.25" customHeight="1" x14ac:dyDescent="0.2">
      <c r="A36" s="243" t="s">
        <v>916</v>
      </c>
      <c r="B36" s="228" t="s">
        <v>917</v>
      </c>
      <c r="C36" s="229" t="s">
        <v>931</v>
      </c>
      <c r="D36" s="248" t="s">
        <v>932</v>
      </c>
      <c r="E36" s="231">
        <v>1</v>
      </c>
      <c r="F36" s="231" t="s">
        <v>920</v>
      </c>
      <c r="G36" s="219">
        <v>9</v>
      </c>
      <c r="H36" s="275">
        <v>2.2200000000000002</v>
      </c>
      <c r="I36" s="238">
        <v>9100</v>
      </c>
      <c r="J36" s="238">
        <f t="shared" si="51"/>
        <v>20202</v>
      </c>
      <c r="K36" s="275"/>
      <c r="L36" s="238"/>
      <c r="M36" s="232"/>
      <c r="N36" s="238"/>
      <c r="O36" s="232"/>
      <c r="P36" s="238"/>
      <c r="Q36" s="246">
        <v>30</v>
      </c>
      <c r="R36" s="238">
        <f t="shared" si="52"/>
        <v>6060.6</v>
      </c>
      <c r="S36" s="238">
        <f t="shared" si="53"/>
        <v>21010.080000000002</v>
      </c>
      <c r="T36" s="238">
        <f t="shared" si="54"/>
        <v>21010.080000000002</v>
      </c>
      <c r="U36" s="238">
        <f t="shared" ref="U36:U46" si="81">ROUND((J36+L36+N36+P36+R36+S36+T36)*E36, 2)</f>
        <v>68282.759999999995</v>
      </c>
      <c r="V36" s="238">
        <f t="shared" si="55"/>
        <v>68282.759999999995</v>
      </c>
      <c r="W36" s="238">
        <f>V36*0.5</f>
        <v>34141.379999999997</v>
      </c>
      <c r="X36" s="238"/>
      <c r="Y36" s="301"/>
      <c r="Z36" s="256">
        <f>52+7</f>
        <v>59</v>
      </c>
      <c r="AA36" s="256"/>
      <c r="AB36" s="234">
        <f>W36/12/1000</f>
        <v>2.8451149999999998</v>
      </c>
      <c r="AC36" s="240">
        <f>W36/1000+AB36</f>
        <v>36.986494999999998</v>
      </c>
      <c r="AD36" s="240">
        <f>W36/1000+AB36</f>
        <v>36.986494999999998</v>
      </c>
      <c r="AE36" s="240">
        <f>W36/1000+AB36</f>
        <v>36.986494999999998</v>
      </c>
      <c r="AF36" s="240">
        <f>W36/1000+AB36</f>
        <v>36.986494999999998</v>
      </c>
      <c r="AG36" s="240">
        <f>W36/1000+AB36</f>
        <v>36.986494999999998</v>
      </c>
      <c r="AH36" s="240">
        <f>W36/1000+AB36</f>
        <v>36.986494999999998</v>
      </c>
      <c r="AI36" s="240">
        <f>W36/1000+AB36</f>
        <v>36.986494999999998</v>
      </c>
      <c r="AJ36" s="240">
        <f>W36/1000+AB36</f>
        <v>36.986494999999998</v>
      </c>
      <c r="AK36" s="240">
        <f>W36/1000+AB36</f>
        <v>36.986494999999998</v>
      </c>
      <c r="AL36" s="240">
        <f>W36/1000+AB36</f>
        <v>36.986494999999998</v>
      </c>
      <c r="AM36" s="240">
        <f>W36/1000+AB36</f>
        <v>36.986494999999998</v>
      </c>
      <c r="AN36" s="240">
        <f>W36/1000+AB36</f>
        <v>36.986494999999998</v>
      </c>
      <c r="AO36" s="240">
        <f t="shared" si="56"/>
        <v>110.959485</v>
      </c>
      <c r="AP36" s="240">
        <f t="shared" si="57"/>
        <v>110.959485</v>
      </c>
      <c r="AQ36" s="240">
        <f t="shared" si="58"/>
        <v>110.959485</v>
      </c>
      <c r="AR36" s="240">
        <f t="shared" si="59"/>
        <v>110.959485</v>
      </c>
      <c r="AS36" s="240">
        <f t="shared" si="60"/>
        <v>443.83794</v>
      </c>
      <c r="AT36" s="240">
        <f t="shared" si="61"/>
        <v>34.286480865000001</v>
      </c>
      <c r="AU36" s="240">
        <f t="shared" si="62"/>
        <v>34.286480865000001</v>
      </c>
      <c r="AV36" s="240">
        <f t="shared" si="63"/>
        <v>34.286480865000001</v>
      </c>
      <c r="AW36" s="240">
        <f t="shared" si="64"/>
        <v>34.286480865000001</v>
      </c>
      <c r="AX36" s="240">
        <f t="shared" si="65"/>
        <v>137.14592346000001</v>
      </c>
      <c r="AY36" s="224"/>
      <c r="AZ36" s="224"/>
      <c r="BA36" s="225"/>
      <c r="BB36" s="224"/>
      <c r="BC36" s="240"/>
      <c r="BD36" s="240"/>
      <c r="BE36" s="250"/>
      <c r="BF36" s="240">
        <f t="shared" si="78"/>
        <v>0</v>
      </c>
      <c r="BG36" s="240">
        <f t="shared" si="66"/>
        <v>0</v>
      </c>
      <c r="BH36" s="240">
        <f t="shared" si="80"/>
        <v>0</v>
      </c>
      <c r="BI36" s="240">
        <f t="shared" si="67"/>
        <v>0</v>
      </c>
      <c r="BJ36" s="240">
        <f t="shared" si="68"/>
        <v>0</v>
      </c>
      <c r="BK36" s="240">
        <f t="shared" si="79"/>
        <v>0</v>
      </c>
      <c r="BL36" s="240">
        <f t="shared" si="69"/>
        <v>0</v>
      </c>
      <c r="BM36" s="240">
        <f t="shared" si="70"/>
        <v>0</v>
      </c>
      <c r="BN36" s="240">
        <f t="shared" si="71"/>
        <v>0</v>
      </c>
      <c r="BO36" s="240">
        <f t="shared" si="72"/>
        <v>0</v>
      </c>
      <c r="BP36" s="240">
        <f t="shared" si="73"/>
        <v>0</v>
      </c>
      <c r="BQ36" s="240">
        <f t="shared" si="74"/>
        <v>0</v>
      </c>
      <c r="BR36" s="240">
        <f t="shared" si="75"/>
        <v>0</v>
      </c>
      <c r="BS36" s="240">
        <f t="shared" si="76"/>
        <v>0</v>
      </c>
      <c r="BT36" s="240">
        <f t="shared" si="77"/>
        <v>0</v>
      </c>
    </row>
    <row r="37" spans="1:72" ht="17.25" customHeight="1" x14ac:dyDescent="0.2">
      <c r="A37" s="243" t="s">
        <v>916</v>
      </c>
      <c r="B37" s="228" t="s">
        <v>917</v>
      </c>
      <c r="C37" s="229" t="s">
        <v>933</v>
      </c>
      <c r="D37" s="229" t="s">
        <v>934</v>
      </c>
      <c r="E37" s="231">
        <v>1</v>
      </c>
      <c r="F37" s="231" t="s">
        <v>920</v>
      </c>
      <c r="G37" s="219">
        <v>9</v>
      </c>
      <c r="H37" s="275">
        <v>2.2200000000000002</v>
      </c>
      <c r="I37" s="238">
        <v>9100</v>
      </c>
      <c r="J37" s="238">
        <f t="shared" si="51"/>
        <v>20202</v>
      </c>
      <c r="K37" s="275"/>
      <c r="L37" s="238"/>
      <c r="M37" s="232"/>
      <c r="N37" s="238"/>
      <c r="O37" s="232"/>
      <c r="P37" s="238"/>
      <c r="Q37" s="246">
        <v>30</v>
      </c>
      <c r="R37" s="238">
        <f t="shared" si="52"/>
        <v>6060.6</v>
      </c>
      <c r="S37" s="238">
        <f t="shared" si="53"/>
        <v>21010.080000000002</v>
      </c>
      <c r="T37" s="238">
        <f t="shared" si="54"/>
        <v>21010.080000000002</v>
      </c>
      <c r="U37" s="238">
        <f t="shared" si="81"/>
        <v>68282.759999999995</v>
      </c>
      <c r="V37" s="238">
        <f t="shared" si="55"/>
        <v>68282.759999999995</v>
      </c>
      <c r="W37" s="238"/>
      <c r="X37" s="238"/>
      <c r="Y37" s="301"/>
      <c r="Z37" s="256">
        <f>52+7</f>
        <v>59</v>
      </c>
      <c r="AA37" s="256"/>
      <c r="AB37" s="234">
        <f>V37/12/1000</f>
        <v>5.6902299999999997</v>
      </c>
      <c r="AC37" s="240">
        <f>V37/1000+AB37</f>
        <v>73.972989999999996</v>
      </c>
      <c r="AD37" s="240">
        <f>V37/1000+AB37</f>
        <v>73.972989999999996</v>
      </c>
      <c r="AE37" s="240">
        <f>V37/1000+AB37</f>
        <v>73.972989999999996</v>
      </c>
      <c r="AF37" s="240">
        <f>V37/1000+AB37</f>
        <v>73.972989999999996</v>
      </c>
      <c r="AG37" s="240">
        <f>V37/1000+AB37</f>
        <v>73.972989999999996</v>
      </c>
      <c r="AH37" s="240">
        <f>V37/1000+AB37</f>
        <v>73.972989999999996</v>
      </c>
      <c r="AI37" s="240">
        <f>V37/1000+AB37</f>
        <v>73.972989999999996</v>
      </c>
      <c r="AJ37" s="240">
        <f>V37/1000+AB37</f>
        <v>73.972989999999996</v>
      </c>
      <c r="AK37" s="240">
        <f>V37/1000+AB37</f>
        <v>73.972989999999996</v>
      </c>
      <c r="AL37" s="240">
        <f>V37/1000+AB37</f>
        <v>73.972989999999996</v>
      </c>
      <c r="AM37" s="240">
        <f>V37/1000+AB37</f>
        <v>73.972989999999996</v>
      </c>
      <c r="AN37" s="240">
        <f>V37/1000+AB37</f>
        <v>73.972989999999996</v>
      </c>
      <c r="AO37" s="240">
        <f t="shared" si="56"/>
        <v>221.91897</v>
      </c>
      <c r="AP37" s="240">
        <f t="shared" si="57"/>
        <v>221.91897</v>
      </c>
      <c r="AQ37" s="240">
        <f t="shared" si="58"/>
        <v>221.91897</v>
      </c>
      <c r="AR37" s="240">
        <f t="shared" si="59"/>
        <v>221.91897</v>
      </c>
      <c r="AS37" s="240">
        <f t="shared" si="60"/>
        <v>887.67588000000001</v>
      </c>
      <c r="AT37" s="240">
        <f t="shared" si="61"/>
        <v>68.572961730000003</v>
      </c>
      <c r="AU37" s="240">
        <f t="shared" si="62"/>
        <v>68.572961730000003</v>
      </c>
      <c r="AV37" s="240">
        <f t="shared" si="63"/>
        <v>68.572961730000003</v>
      </c>
      <c r="AW37" s="240">
        <f t="shared" si="64"/>
        <v>68.572961730000003</v>
      </c>
      <c r="AX37" s="240">
        <f t="shared" si="65"/>
        <v>274.29184692000001</v>
      </c>
      <c r="AY37" s="224">
        <f>5000/1000/4</f>
        <v>1.25</v>
      </c>
      <c r="AZ37" s="224">
        <f>3500/1000</f>
        <v>3.5</v>
      </c>
      <c r="BA37" s="225">
        <f>5000/1000</f>
        <v>5</v>
      </c>
      <c r="BB37" s="224">
        <f>3500/1000</f>
        <v>3.5</v>
      </c>
      <c r="BC37" s="240"/>
      <c r="BD37" s="240"/>
      <c r="BE37" s="250"/>
      <c r="BF37" s="240">
        <f t="shared" si="78"/>
        <v>4.75</v>
      </c>
      <c r="BG37" s="240">
        <f t="shared" si="66"/>
        <v>1.25</v>
      </c>
      <c r="BH37" s="240">
        <f t="shared" si="80"/>
        <v>6.25</v>
      </c>
      <c r="BI37" s="240">
        <f t="shared" si="67"/>
        <v>4.75</v>
      </c>
      <c r="BJ37" s="240">
        <f t="shared" si="68"/>
        <v>17</v>
      </c>
      <c r="BK37" s="240">
        <f t="shared" si="79"/>
        <v>1.4677499999999999</v>
      </c>
      <c r="BL37" s="240">
        <f t="shared" si="69"/>
        <v>0.38624999999999998</v>
      </c>
      <c r="BM37" s="240">
        <f t="shared" si="70"/>
        <v>1.9312499999999999</v>
      </c>
      <c r="BN37" s="240">
        <f t="shared" si="71"/>
        <v>1.4677499999999999</v>
      </c>
      <c r="BO37" s="240">
        <f t="shared" si="72"/>
        <v>5.2529999999999992</v>
      </c>
      <c r="BP37" s="240">
        <f t="shared" si="73"/>
        <v>6.2177499999999997</v>
      </c>
      <c r="BQ37" s="240">
        <f t="shared" si="74"/>
        <v>1.63625</v>
      </c>
      <c r="BR37" s="240">
        <f t="shared" si="75"/>
        <v>8.1812500000000004</v>
      </c>
      <c r="BS37" s="240">
        <f t="shared" si="76"/>
        <v>6.2177499999999997</v>
      </c>
      <c r="BT37" s="240">
        <f t="shared" si="77"/>
        <v>22.252999999999997</v>
      </c>
    </row>
    <row r="38" spans="1:72" ht="29.25" customHeight="1" x14ac:dyDescent="0.2">
      <c r="A38" s="243" t="s">
        <v>916</v>
      </c>
      <c r="B38" s="228" t="s">
        <v>917</v>
      </c>
      <c r="C38" s="229" t="s">
        <v>935</v>
      </c>
      <c r="D38" s="248" t="s">
        <v>936</v>
      </c>
      <c r="E38" s="302">
        <v>1</v>
      </c>
      <c r="F38" s="302" t="s">
        <v>920</v>
      </c>
      <c r="G38" s="219">
        <v>8</v>
      </c>
      <c r="H38" s="275">
        <v>2.02</v>
      </c>
      <c r="I38" s="238">
        <v>9100</v>
      </c>
      <c r="J38" s="238">
        <f t="shared" si="51"/>
        <v>18382</v>
      </c>
      <c r="K38" s="303"/>
      <c r="L38" s="237"/>
      <c r="M38" s="304"/>
      <c r="N38" s="237"/>
      <c r="O38" s="304"/>
      <c r="P38" s="237"/>
      <c r="Q38" s="246">
        <v>30</v>
      </c>
      <c r="R38" s="238">
        <f t="shared" si="52"/>
        <v>5514.6</v>
      </c>
      <c r="S38" s="238">
        <f t="shared" si="53"/>
        <v>19117.28</v>
      </c>
      <c r="T38" s="238">
        <f t="shared" si="54"/>
        <v>19117.28</v>
      </c>
      <c r="U38" s="238">
        <f t="shared" si="81"/>
        <v>62131.16</v>
      </c>
      <c r="V38" s="238">
        <f>U38</f>
        <v>62131.16</v>
      </c>
      <c r="W38" s="238">
        <f>V38*0.5</f>
        <v>31065.58</v>
      </c>
      <c r="X38" s="238"/>
      <c r="Y38" s="305"/>
      <c r="Z38" s="219">
        <f>52+7</f>
        <v>59</v>
      </c>
      <c r="AA38" s="219"/>
      <c r="AB38" s="238">
        <f>W38/12/1000</f>
        <v>2.5887983333333335</v>
      </c>
      <c r="AC38" s="240">
        <f>W38/1000+AB38</f>
        <v>33.654378333333334</v>
      </c>
      <c r="AD38" s="240">
        <f>W38/1000+AB38</f>
        <v>33.654378333333334</v>
      </c>
      <c r="AE38" s="240">
        <f>W38/1000+AB38</f>
        <v>33.654378333333334</v>
      </c>
      <c r="AF38" s="240">
        <f>W38/1000+AB38</f>
        <v>33.654378333333334</v>
      </c>
      <c r="AG38" s="240">
        <f>W38/1000+AB38</f>
        <v>33.654378333333334</v>
      </c>
      <c r="AH38" s="240">
        <f>W38/1000+AB38</f>
        <v>33.654378333333334</v>
      </c>
      <c r="AI38" s="240">
        <f>W38/1000+AB38</f>
        <v>33.654378333333334</v>
      </c>
      <c r="AJ38" s="240">
        <f>W38/1000+AB38</f>
        <v>33.654378333333334</v>
      </c>
      <c r="AK38" s="240">
        <f>W38/1000+AB38</f>
        <v>33.654378333333334</v>
      </c>
      <c r="AL38" s="240">
        <f>W38/1000+AB38</f>
        <v>33.654378333333334</v>
      </c>
      <c r="AM38" s="240">
        <f>W38/1000+AB38</f>
        <v>33.654378333333334</v>
      </c>
      <c r="AN38" s="240">
        <f>W38/1000+AB38</f>
        <v>33.654378333333334</v>
      </c>
      <c r="AO38" s="240">
        <f t="shared" si="56"/>
        <v>100.96313499999999</v>
      </c>
      <c r="AP38" s="240">
        <f t="shared" si="57"/>
        <v>100.96313499999999</v>
      </c>
      <c r="AQ38" s="240">
        <f t="shared" si="58"/>
        <v>100.96313499999999</v>
      </c>
      <c r="AR38" s="240">
        <f t="shared" si="59"/>
        <v>100.96313499999999</v>
      </c>
      <c r="AS38" s="240">
        <f t="shared" si="60"/>
        <v>403.85253999999998</v>
      </c>
      <c r="AT38" s="240">
        <f t="shared" si="61"/>
        <v>31.197608714999998</v>
      </c>
      <c r="AU38" s="240">
        <f t="shared" si="62"/>
        <v>31.197608714999998</v>
      </c>
      <c r="AV38" s="240">
        <f t="shared" si="63"/>
        <v>31.197608714999998</v>
      </c>
      <c r="AW38" s="240">
        <f t="shared" si="64"/>
        <v>31.197608714999998</v>
      </c>
      <c r="AX38" s="240">
        <f t="shared" si="65"/>
        <v>124.79043485999999</v>
      </c>
      <c r="AY38" s="224"/>
      <c r="AZ38" s="224"/>
      <c r="BA38" s="225"/>
      <c r="BB38" s="224"/>
      <c r="BC38" s="240"/>
      <c r="BD38" s="240"/>
      <c r="BE38" s="250"/>
      <c r="BF38" s="240">
        <f t="shared" si="78"/>
        <v>0</v>
      </c>
      <c r="BG38" s="240">
        <f t="shared" si="66"/>
        <v>0</v>
      </c>
      <c r="BH38" s="240">
        <f t="shared" si="80"/>
        <v>0</v>
      </c>
      <c r="BI38" s="240">
        <f t="shared" si="67"/>
        <v>0</v>
      </c>
      <c r="BJ38" s="240">
        <f t="shared" si="68"/>
        <v>0</v>
      </c>
      <c r="BK38" s="240">
        <f t="shared" si="79"/>
        <v>0</v>
      </c>
      <c r="BL38" s="240">
        <f t="shared" si="69"/>
        <v>0</v>
      </c>
      <c r="BM38" s="240">
        <f t="shared" si="70"/>
        <v>0</v>
      </c>
      <c r="BN38" s="240">
        <f t="shared" si="71"/>
        <v>0</v>
      </c>
      <c r="BO38" s="240">
        <f t="shared" si="72"/>
        <v>0</v>
      </c>
      <c r="BP38" s="240">
        <f t="shared" si="73"/>
        <v>0</v>
      </c>
      <c r="BQ38" s="240">
        <f t="shared" si="74"/>
        <v>0</v>
      </c>
      <c r="BR38" s="240">
        <f t="shared" si="75"/>
        <v>0</v>
      </c>
      <c r="BS38" s="240">
        <f t="shared" si="76"/>
        <v>0</v>
      </c>
      <c r="BT38" s="240">
        <f t="shared" si="77"/>
        <v>0</v>
      </c>
    </row>
    <row r="39" spans="1:72" ht="17.25" customHeight="1" x14ac:dyDescent="0.2">
      <c r="A39" s="243" t="s">
        <v>916</v>
      </c>
      <c r="B39" s="228" t="s">
        <v>917</v>
      </c>
      <c r="C39" s="249" t="s">
        <v>937</v>
      </c>
      <c r="D39" s="248" t="s">
        <v>938</v>
      </c>
      <c r="E39" s="302">
        <v>1</v>
      </c>
      <c r="F39" s="302" t="s">
        <v>920</v>
      </c>
      <c r="G39" s="219">
        <v>7</v>
      </c>
      <c r="H39" s="275">
        <v>1.84</v>
      </c>
      <c r="I39" s="238">
        <v>9100</v>
      </c>
      <c r="J39" s="238">
        <f t="shared" si="51"/>
        <v>16744</v>
      </c>
      <c r="K39" s="275"/>
      <c r="L39" s="238"/>
      <c r="M39" s="232"/>
      <c r="N39" s="238"/>
      <c r="O39" s="232"/>
      <c r="P39" s="238"/>
      <c r="Q39" s="246">
        <v>30</v>
      </c>
      <c r="R39" s="238">
        <f t="shared" si="52"/>
        <v>5023.2</v>
      </c>
      <c r="S39" s="238">
        <f t="shared" si="53"/>
        <v>17413.759999999998</v>
      </c>
      <c r="T39" s="238">
        <f t="shared" si="54"/>
        <v>17413.759999999998</v>
      </c>
      <c r="U39" s="238">
        <f t="shared" si="81"/>
        <v>56594.720000000001</v>
      </c>
      <c r="V39" s="238">
        <f>U39*E39</f>
        <v>56594.720000000001</v>
      </c>
      <c r="W39" s="238"/>
      <c r="X39" s="238"/>
      <c r="Y39" s="301"/>
      <c r="Z39" s="256"/>
      <c r="AA39" s="256"/>
      <c r="AB39" s="234">
        <f>V39/12/1000</f>
        <v>4.7162266666666666</v>
      </c>
      <c r="AC39" s="240">
        <f>V39/1000+AB39</f>
        <v>61.310946666666666</v>
      </c>
      <c r="AD39" s="240">
        <f>V39/1000+AB39</f>
        <v>61.310946666666666</v>
      </c>
      <c r="AE39" s="240">
        <f>V39/1000+AB39</f>
        <v>61.310946666666666</v>
      </c>
      <c r="AF39" s="240">
        <f>V39/1000+AB39</f>
        <v>61.310946666666666</v>
      </c>
      <c r="AG39" s="240">
        <f>V39/1000+AB39</f>
        <v>61.310946666666666</v>
      </c>
      <c r="AH39" s="240">
        <f>V39/1000+AB39</f>
        <v>61.310946666666666</v>
      </c>
      <c r="AI39" s="240">
        <f>V39/1000+AB39</f>
        <v>61.310946666666666</v>
      </c>
      <c r="AJ39" s="240">
        <f>V39/1000+AB39</f>
        <v>61.310946666666666</v>
      </c>
      <c r="AK39" s="240">
        <f>V39/1000+AB39</f>
        <v>61.310946666666666</v>
      </c>
      <c r="AL39" s="240">
        <f>V39/1000+AB39</f>
        <v>61.310946666666666</v>
      </c>
      <c r="AM39" s="240">
        <f>V39/1000+AB39</f>
        <v>61.310946666666666</v>
      </c>
      <c r="AN39" s="240">
        <f>V39/1000+AB39</f>
        <v>61.310946666666666</v>
      </c>
      <c r="AO39" s="240">
        <f t="shared" si="56"/>
        <v>183.93284</v>
      </c>
      <c r="AP39" s="240">
        <f t="shared" si="57"/>
        <v>183.93284</v>
      </c>
      <c r="AQ39" s="240">
        <f t="shared" si="58"/>
        <v>183.93284</v>
      </c>
      <c r="AR39" s="240">
        <f t="shared" si="59"/>
        <v>183.93284</v>
      </c>
      <c r="AS39" s="240">
        <f t="shared" si="60"/>
        <v>735.73136</v>
      </c>
      <c r="AT39" s="240">
        <f t="shared" si="61"/>
        <v>56.835247559999999</v>
      </c>
      <c r="AU39" s="240">
        <f t="shared" si="62"/>
        <v>56.835247559999999</v>
      </c>
      <c r="AV39" s="240">
        <f t="shared" si="63"/>
        <v>56.835247559999999</v>
      </c>
      <c r="AW39" s="240">
        <f t="shared" si="64"/>
        <v>56.835247559999999</v>
      </c>
      <c r="AX39" s="240">
        <f t="shared" si="65"/>
        <v>227.34099024</v>
      </c>
      <c r="AY39" s="224">
        <f>5000/1000/4</f>
        <v>1.25</v>
      </c>
      <c r="AZ39" s="224">
        <f>3500/1000</f>
        <v>3.5</v>
      </c>
      <c r="BA39" s="225">
        <f>5000/1000</f>
        <v>5</v>
      </c>
      <c r="BB39" s="224">
        <f>3500/1000</f>
        <v>3.5</v>
      </c>
      <c r="BC39" s="240"/>
      <c r="BD39" s="240"/>
      <c r="BE39" s="250"/>
      <c r="BF39" s="240">
        <f t="shared" si="78"/>
        <v>4.75</v>
      </c>
      <c r="BG39" s="240">
        <f t="shared" si="66"/>
        <v>1.25</v>
      </c>
      <c r="BH39" s="240">
        <f t="shared" si="80"/>
        <v>6.25</v>
      </c>
      <c r="BI39" s="240">
        <f t="shared" si="67"/>
        <v>4.75</v>
      </c>
      <c r="BJ39" s="240">
        <f t="shared" si="68"/>
        <v>17</v>
      </c>
      <c r="BK39" s="240">
        <f t="shared" si="79"/>
        <v>1.4677499999999999</v>
      </c>
      <c r="BL39" s="240">
        <f t="shared" si="69"/>
        <v>0.38624999999999998</v>
      </c>
      <c r="BM39" s="240">
        <f t="shared" si="70"/>
        <v>1.9312499999999999</v>
      </c>
      <c r="BN39" s="240">
        <f t="shared" si="71"/>
        <v>1.4677499999999999</v>
      </c>
      <c r="BO39" s="240">
        <f t="shared" si="72"/>
        <v>5.2529999999999992</v>
      </c>
      <c r="BP39" s="240">
        <f t="shared" si="73"/>
        <v>6.2177499999999997</v>
      </c>
      <c r="BQ39" s="240">
        <f t="shared" si="74"/>
        <v>1.63625</v>
      </c>
      <c r="BR39" s="240">
        <f t="shared" si="75"/>
        <v>8.1812500000000004</v>
      </c>
      <c r="BS39" s="240">
        <f t="shared" si="76"/>
        <v>6.2177499999999997</v>
      </c>
      <c r="BT39" s="240">
        <f t="shared" si="77"/>
        <v>22.252999999999997</v>
      </c>
    </row>
    <row r="40" spans="1:72" ht="27" customHeight="1" x14ac:dyDescent="0.2">
      <c r="A40" s="243" t="s">
        <v>916</v>
      </c>
      <c r="B40" s="228" t="s">
        <v>917</v>
      </c>
      <c r="C40" s="306" t="s">
        <v>939</v>
      </c>
      <c r="D40" s="248" t="s">
        <v>940</v>
      </c>
      <c r="E40" s="302">
        <v>1</v>
      </c>
      <c r="F40" s="302" t="s">
        <v>920</v>
      </c>
      <c r="G40" s="219">
        <v>6</v>
      </c>
      <c r="H40" s="275">
        <v>1.67</v>
      </c>
      <c r="I40" s="238">
        <v>9100</v>
      </c>
      <c r="J40" s="235">
        <f t="shared" si="51"/>
        <v>15197</v>
      </c>
      <c r="K40" s="275"/>
      <c r="L40" s="238"/>
      <c r="M40" s="245"/>
      <c r="N40" s="238"/>
      <c r="O40" s="245"/>
      <c r="P40" s="238"/>
      <c r="Q40" s="246">
        <v>30</v>
      </c>
      <c r="R40" s="238">
        <f t="shared" si="52"/>
        <v>4559.1000000000004</v>
      </c>
      <c r="S40" s="238">
        <f t="shared" si="53"/>
        <v>15804.88</v>
      </c>
      <c r="T40" s="238">
        <f t="shared" si="54"/>
        <v>15804.88</v>
      </c>
      <c r="U40" s="238">
        <f t="shared" si="81"/>
        <v>51365.86</v>
      </c>
      <c r="V40" s="238">
        <f>U40*E40</f>
        <v>51365.86</v>
      </c>
      <c r="W40" s="238">
        <f>V40*0.5</f>
        <v>25682.93</v>
      </c>
      <c r="X40" s="238"/>
      <c r="Y40" s="305"/>
      <c r="Z40" s="219">
        <f>52+7</f>
        <v>59</v>
      </c>
      <c r="AA40" s="219"/>
      <c r="AB40" s="238">
        <f>W40/12/1000</f>
        <v>2.1402441666666667</v>
      </c>
      <c r="AC40" s="240">
        <f>W40/1000+AB40</f>
        <v>27.823174166666664</v>
      </c>
      <c r="AD40" s="240">
        <f>W40/1000+AB40</f>
        <v>27.823174166666664</v>
      </c>
      <c r="AE40" s="240">
        <f>W40/1000+AB40</f>
        <v>27.823174166666664</v>
      </c>
      <c r="AF40" s="240">
        <f>W40/1000+AB40</f>
        <v>27.823174166666664</v>
      </c>
      <c r="AG40" s="240">
        <f>W40/1000+AB40</f>
        <v>27.823174166666664</v>
      </c>
      <c r="AH40" s="240">
        <f>W40/1000+AB40</f>
        <v>27.823174166666664</v>
      </c>
      <c r="AI40" s="240">
        <f>W40/1000+AB40</f>
        <v>27.823174166666664</v>
      </c>
      <c r="AJ40" s="240">
        <f>W40/1000+AB40</f>
        <v>27.823174166666664</v>
      </c>
      <c r="AK40" s="240">
        <f>W40/1000+AB40</f>
        <v>27.823174166666664</v>
      </c>
      <c r="AL40" s="240">
        <f>W40/1000+AB40</f>
        <v>27.823174166666664</v>
      </c>
      <c r="AM40" s="240">
        <f>W40/1000+AB40</f>
        <v>27.823174166666664</v>
      </c>
      <c r="AN40" s="240">
        <f>W40/1000+AB40</f>
        <v>27.823174166666664</v>
      </c>
      <c r="AO40" s="240">
        <f t="shared" si="56"/>
        <v>83.469522499999997</v>
      </c>
      <c r="AP40" s="240">
        <f t="shared" si="57"/>
        <v>83.469522499999997</v>
      </c>
      <c r="AQ40" s="240">
        <f t="shared" si="58"/>
        <v>83.469522499999997</v>
      </c>
      <c r="AR40" s="240">
        <f t="shared" si="59"/>
        <v>83.469522499999997</v>
      </c>
      <c r="AS40" s="240">
        <f t="shared" si="60"/>
        <v>333.87808999999999</v>
      </c>
      <c r="AT40" s="240">
        <f t="shared" si="61"/>
        <v>25.792082452499997</v>
      </c>
      <c r="AU40" s="240">
        <f t="shared" si="62"/>
        <v>25.792082452499997</v>
      </c>
      <c r="AV40" s="240">
        <f t="shared" si="63"/>
        <v>25.792082452499997</v>
      </c>
      <c r="AW40" s="240">
        <f t="shared" si="64"/>
        <v>25.792082452499997</v>
      </c>
      <c r="AX40" s="240">
        <f t="shared" si="65"/>
        <v>103.16832980999999</v>
      </c>
      <c r="AY40" s="224"/>
      <c r="AZ40" s="224"/>
      <c r="BA40" s="225"/>
      <c r="BB40" s="224"/>
      <c r="BC40" s="240"/>
      <c r="BD40" s="240"/>
      <c r="BE40" s="250"/>
      <c r="BF40" s="240">
        <f t="shared" si="78"/>
        <v>0</v>
      </c>
      <c r="BG40" s="240">
        <f t="shared" si="66"/>
        <v>0</v>
      </c>
      <c r="BH40" s="240">
        <f t="shared" si="80"/>
        <v>0</v>
      </c>
      <c r="BI40" s="240">
        <f t="shared" si="67"/>
        <v>0</v>
      </c>
      <c r="BJ40" s="240">
        <f t="shared" si="68"/>
        <v>0</v>
      </c>
      <c r="BK40" s="240">
        <f t="shared" si="79"/>
        <v>0</v>
      </c>
      <c r="BL40" s="240">
        <f t="shared" si="69"/>
        <v>0</v>
      </c>
      <c r="BM40" s="240">
        <f t="shared" si="70"/>
        <v>0</v>
      </c>
      <c r="BN40" s="240">
        <f t="shared" si="71"/>
        <v>0</v>
      </c>
      <c r="BO40" s="240">
        <f t="shared" si="72"/>
        <v>0</v>
      </c>
      <c r="BP40" s="240">
        <f t="shared" si="73"/>
        <v>0</v>
      </c>
      <c r="BQ40" s="240">
        <f t="shared" si="74"/>
        <v>0</v>
      </c>
      <c r="BR40" s="240">
        <f t="shared" si="75"/>
        <v>0</v>
      </c>
      <c r="BS40" s="240">
        <f t="shared" si="76"/>
        <v>0</v>
      </c>
      <c r="BT40" s="240">
        <f t="shared" si="77"/>
        <v>0</v>
      </c>
    </row>
    <row r="41" spans="1:72" s="277" customFormat="1" ht="30" customHeight="1" x14ac:dyDescent="0.2">
      <c r="A41" s="278" t="s">
        <v>916</v>
      </c>
      <c r="B41" s="279" t="s">
        <v>917</v>
      </c>
      <c r="C41" s="280" t="s">
        <v>941</v>
      </c>
      <c r="D41" s="280" t="s">
        <v>942</v>
      </c>
      <c r="E41" s="282">
        <v>1</v>
      </c>
      <c r="F41" s="282" t="s">
        <v>920</v>
      </c>
      <c r="G41" s="283">
        <v>6</v>
      </c>
      <c r="H41" s="284">
        <v>1.67</v>
      </c>
      <c r="I41" s="285">
        <v>9100</v>
      </c>
      <c r="J41" s="285">
        <f t="shared" si="51"/>
        <v>15197</v>
      </c>
      <c r="K41" s="307"/>
      <c r="L41" s="287"/>
      <c r="M41" s="286"/>
      <c r="N41" s="287"/>
      <c r="O41" s="286"/>
      <c r="P41" s="287"/>
      <c r="Q41" s="289">
        <v>30</v>
      </c>
      <c r="R41" s="285">
        <f t="shared" si="52"/>
        <v>4559.1000000000004</v>
      </c>
      <c r="S41" s="285">
        <f t="shared" si="53"/>
        <v>15804.88</v>
      </c>
      <c r="T41" s="285">
        <f t="shared" si="54"/>
        <v>15804.88</v>
      </c>
      <c r="U41" s="285">
        <f t="shared" si="81"/>
        <v>51365.86</v>
      </c>
      <c r="V41" s="285">
        <f>U41</f>
        <v>51365.86</v>
      </c>
      <c r="W41" s="285"/>
      <c r="X41" s="285"/>
      <c r="Y41" s="308"/>
      <c r="Z41" s="283">
        <f>52+7</f>
        <v>59</v>
      </c>
      <c r="AA41" s="283"/>
      <c r="AB41" s="285">
        <f>V41/12/1000</f>
        <v>4.2804883333333335</v>
      </c>
      <c r="AC41" s="293">
        <f>V41/1000+AB41</f>
        <v>55.646348333333329</v>
      </c>
      <c r="AD41" s="293">
        <f>V41/1000+AB41</f>
        <v>55.646348333333329</v>
      </c>
      <c r="AE41" s="293">
        <f>V41/1000+AB41</f>
        <v>55.646348333333329</v>
      </c>
      <c r="AF41" s="293">
        <f>V41/1000+AB41</f>
        <v>55.646348333333329</v>
      </c>
      <c r="AG41" s="293">
        <f>V41/1000+AB41</f>
        <v>55.646348333333329</v>
      </c>
      <c r="AH41" s="293">
        <f>V41/1000+AB41</f>
        <v>55.646348333333329</v>
      </c>
      <c r="AI41" s="293">
        <f>V41/1000+AB41</f>
        <v>55.646348333333329</v>
      </c>
      <c r="AJ41" s="293">
        <f>V41/1000+AB41</f>
        <v>55.646348333333329</v>
      </c>
      <c r="AK41" s="293">
        <f>V41/1000+AB41</f>
        <v>55.646348333333329</v>
      </c>
      <c r="AL41" s="293">
        <f>V41/1000+AB41</f>
        <v>55.646348333333329</v>
      </c>
      <c r="AM41" s="293">
        <f>V41/1000+AB41</f>
        <v>55.646348333333329</v>
      </c>
      <c r="AN41" s="293">
        <f>V41/1000+AB41</f>
        <v>55.646348333333329</v>
      </c>
      <c r="AO41" s="293">
        <f t="shared" si="56"/>
        <v>166.93904499999999</v>
      </c>
      <c r="AP41" s="293">
        <f t="shared" si="57"/>
        <v>166.93904499999999</v>
      </c>
      <c r="AQ41" s="293">
        <f t="shared" si="58"/>
        <v>166.93904499999999</v>
      </c>
      <c r="AR41" s="293">
        <f t="shared" si="59"/>
        <v>166.93904499999999</v>
      </c>
      <c r="AS41" s="293">
        <f t="shared" si="60"/>
        <v>667.75617999999997</v>
      </c>
      <c r="AT41" s="293">
        <f t="shared" si="61"/>
        <v>51.584164904999994</v>
      </c>
      <c r="AU41" s="293">
        <f t="shared" si="62"/>
        <v>51.584164904999994</v>
      </c>
      <c r="AV41" s="293">
        <f t="shared" si="63"/>
        <v>51.584164904999994</v>
      </c>
      <c r="AW41" s="293">
        <f t="shared" si="64"/>
        <v>51.584164904999994</v>
      </c>
      <c r="AX41" s="293">
        <f t="shared" si="65"/>
        <v>206.33665961999998</v>
      </c>
      <c r="AY41" s="294">
        <f>5000/1000/4</f>
        <v>1.25</v>
      </c>
      <c r="AZ41" s="294">
        <f>3500/1000</f>
        <v>3.5</v>
      </c>
      <c r="BA41" s="295">
        <f>5000/1000</f>
        <v>5</v>
      </c>
      <c r="BB41" s="294">
        <f>3500/1000</f>
        <v>3.5</v>
      </c>
      <c r="BC41" s="293"/>
      <c r="BD41" s="293"/>
      <c r="BE41" s="296"/>
      <c r="BF41" s="293">
        <f t="shared" si="78"/>
        <v>4.75</v>
      </c>
      <c r="BG41" s="293">
        <f t="shared" si="66"/>
        <v>1.25</v>
      </c>
      <c r="BH41" s="293">
        <f t="shared" si="80"/>
        <v>6.25</v>
      </c>
      <c r="BI41" s="293">
        <f t="shared" si="67"/>
        <v>4.75</v>
      </c>
      <c r="BJ41" s="293">
        <f t="shared" si="68"/>
        <v>17</v>
      </c>
      <c r="BK41" s="293">
        <f t="shared" si="79"/>
        <v>1.4677499999999999</v>
      </c>
      <c r="BL41" s="293">
        <f t="shared" si="69"/>
        <v>0.38624999999999998</v>
      </c>
      <c r="BM41" s="293">
        <f t="shared" si="70"/>
        <v>1.9312499999999999</v>
      </c>
      <c r="BN41" s="293">
        <f t="shared" si="71"/>
        <v>1.4677499999999999</v>
      </c>
      <c r="BO41" s="293">
        <f t="shared" si="72"/>
        <v>5.2529999999999992</v>
      </c>
      <c r="BP41" s="293">
        <f t="shared" si="73"/>
        <v>6.2177499999999997</v>
      </c>
      <c r="BQ41" s="293">
        <f t="shared" si="74"/>
        <v>1.63625</v>
      </c>
      <c r="BR41" s="293">
        <f t="shared" si="75"/>
        <v>8.1812500000000004</v>
      </c>
      <c r="BS41" s="293">
        <f t="shared" si="76"/>
        <v>6.2177499999999997</v>
      </c>
      <c r="BT41" s="293">
        <f t="shared" si="77"/>
        <v>22.252999999999997</v>
      </c>
    </row>
    <row r="42" spans="1:72" s="277" customFormat="1" ht="30.75" customHeight="1" x14ac:dyDescent="0.2">
      <c r="A42" s="278" t="s">
        <v>916</v>
      </c>
      <c r="B42" s="279" t="s">
        <v>917</v>
      </c>
      <c r="C42" s="280" t="s">
        <v>943</v>
      </c>
      <c r="D42" s="297" t="s">
        <v>926</v>
      </c>
      <c r="E42" s="282">
        <v>1</v>
      </c>
      <c r="F42" s="282" t="s">
        <v>920</v>
      </c>
      <c r="G42" s="283">
        <v>6</v>
      </c>
      <c r="H42" s="284">
        <v>1.67</v>
      </c>
      <c r="I42" s="285">
        <v>9100</v>
      </c>
      <c r="J42" s="285">
        <f t="shared" si="51"/>
        <v>15197</v>
      </c>
      <c r="K42" s="307"/>
      <c r="L42" s="287"/>
      <c r="M42" s="286"/>
      <c r="N42" s="287"/>
      <c r="O42" s="286"/>
      <c r="P42" s="287"/>
      <c r="Q42" s="289">
        <v>30</v>
      </c>
      <c r="R42" s="285">
        <f t="shared" si="52"/>
        <v>4559.1000000000004</v>
      </c>
      <c r="S42" s="285">
        <f t="shared" si="53"/>
        <v>15804.88</v>
      </c>
      <c r="T42" s="285">
        <f t="shared" si="54"/>
        <v>15804.88</v>
      </c>
      <c r="U42" s="285">
        <f t="shared" si="81"/>
        <v>51365.86</v>
      </c>
      <c r="V42" s="285">
        <f>U42</f>
        <v>51365.86</v>
      </c>
      <c r="W42" s="285"/>
      <c r="X42" s="285"/>
      <c r="Y42" s="309"/>
      <c r="Z42" s="283">
        <f>52/12*6</f>
        <v>26</v>
      </c>
      <c r="AA42" s="283"/>
      <c r="AB42" s="285"/>
      <c r="AC42" s="293"/>
      <c r="AD42" s="293"/>
      <c r="AE42" s="293"/>
      <c r="AF42" s="293">
        <f>V42/1000</f>
        <v>51.365859999999998</v>
      </c>
      <c r="AG42" s="293">
        <f>V42/1000</f>
        <v>51.365859999999998</v>
      </c>
      <c r="AH42" s="293">
        <f>V42/1000</f>
        <v>51.365859999999998</v>
      </c>
      <c r="AI42" s="293">
        <f>V42/1000</f>
        <v>51.365859999999998</v>
      </c>
      <c r="AJ42" s="293">
        <f>V42/1000</f>
        <v>51.365859999999998</v>
      </c>
      <c r="AK42" s="293">
        <f>V42/1000+(AF42+AG42+AH42+AI42+AJ42+51.37)/6/29.3*52</f>
        <v>142.52833781569964</v>
      </c>
      <c r="AL42" s="293"/>
      <c r="AM42" s="293"/>
      <c r="AN42" s="293"/>
      <c r="AO42" s="293">
        <f t="shared" si="56"/>
        <v>0</v>
      </c>
      <c r="AP42" s="293">
        <f t="shared" si="57"/>
        <v>154.09757999999999</v>
      </c>
      <c r="AQ42" s="293">
        <f t="shared" si="58"/>
        <v>245.26005781569964</v>
      </c>
      <c r="AR42" s="293">
        <f t="shared" si="59"/>
        <v>0</v>
      </c>
      <c r="AS42" s="293">
        <f t="shared" si="60"/>
        <v>399.3576378156996</v>
      </c>
      <c r="AT42" s="293">
        <f t="shared" si="61"/>
        <v>0</v>
      </c>
      <c r="AU42" s="293">
        <f t="shared" si="62"/>
        <v>47.616152219999996</v>
      </c>
      <c r="AV42" s="293">
        <f t="shared" si="63"/>
        <v>75.785357865051182</v>
      </c>
      <c r="AW42" s="293">
        <f t="shared" si="64"/>
        <v>0</v>
      </c>
      <c r="AX42" s="293">
        <f t="shared" si="65"/>
        <v>123.40151008505117</v>
      </c>
      <c r="AY42" s="294"/>
      <c r="AZ42" s="294"/>
      <c r="BA42" s="295"/>
      <c r="BB42" s="294"/>
      <c r="BC42" s="293"/>
      <c r="BD42" s="293"/>
      <c r="BE42" s="296"/>
      <c r="BF42" s="293">
        <f t="shared" si="78"/>
        <v>0</v>
      </c>
      <c r="BG42" s="293">
        <f t="shared" si="66"/>
        <v>0</v>
      </c>
      <c r="BH42" s="293">
        <f t="shared" si="80"/>
        <v>0</v>
      </c>
      <c r="BI42" s="293">
        <f t="shared" si="67"/>
        <v>0</v>
      </c>
      <c r="BJ42" s="293">
        <f t="shared" si="68"/>
        <v>0</v>
      </c>
      <c r="BK42" s="293">
        <f t="shared" si="79"/>
        <v>0</v>
      </c>
      <c r="BL42" s="293">
        <f t="shared" si="69"/>
        <v>0</v>
      </c>
      <c r="BM42" s="293">
        <f t="shared" si="70"/>
        <v>0</v>
      </c>
      <c r="BN42" s="293">
        <f t="shared" si="71"/>
        <v>0</v>
      </c>
      <c r="BO42" s="293">
        <f t="shared" si="72"/>
        <v>0</v>
      </c>
      <c r="BP42" s="293">
        <f t="shared" si="73"/>
        <v>0</v>
      </c>
      <c r="BQ42" s="293">
        <f t="shared" si="74"/>
        <v>0</v>
      </c>
      <c r="BR42" s="293">
        <f t="shared" si="75"/>
        <v>0</v>
      </c>
      <c r="BS42" s="293">
        <f t="shared" si="76"/>
        <v>0</v>
      </c>
      <c r="BT42" s="293">
        <f t="shared" si="77"/>
        <v>0</v>
      </c>
    </row>
    <row r="43" spans="1:72" ht="20.25" customHeight="1" x14ac:dyDescent="0.2">
      <c r="A43" s="243" t="s">
        <v>916</v>
      </c>
      <c r="B43" s="228" t="s">
        <v>917</v>
      </c>
      <c r="C43" s="229" t="s">
        <v>944</v>
      </c>
      <c r="D43" s="310" t="s">
        <v>945</v>
      </c>
      <c r="E43" s="231">
        <v>1</v>
      </c>
      <c r="F43" s="231" t="s">
        <v>923</v>
      </c>
      <c r="G43" s="219">
        <v>5</v>
      </c>
      <c r="H43" s="275">
        <v>1.51</v>
      </c>
      <c r="I43" s="238">
        <v>9100</v>
      </c>
      <c r="J43" s="235">
        <f t="shared" si="51"/>
        <v>13741</v>
      </c>
      <c r="K43" s="275"/>
      <c r="L43" s="238"/>
      <c r="M43" s="311"/>
      <c r="N43" s="238"/>
      <c r="O43" s="245"/>
      <c r="P43" s="238"/>
      <c r="Q43" s="246">
        <v>30</v>
      </c>
      <c r="R43" s="238">
        <f t="shared" si="52"/>
        <v>4122.3</v>
      </c>
      <c r="S43" s="238">
        <f t="shared" si="53"/>
        <v>14290.64</v>
      </c>
      <c r="T43" s="238">
        <f t="shared" si="54"/>
        <v>14290.64</v>
      </c>
      <c r="U43" s="238">
        <f t="shared" si="81"/>
        <v>46444.58</v>
      </c>
      <c r="V43" s="238">
        <f>U43</f>
        <v>46444.58</v>
      </c>
      <c r="W43" s="238"/>
      <c r="X43" s="238"/>
      <c r="Y43" s="301"/>
      <c r="Z43" s="256"/>
      <c r="AA43" s="256"/>
      <c r="AB43" s="234">
        <f>V43/12/1000</f>
        <v>3.8703816666666668</v>
      </c>
      <c r="AC43" s="240">
        <f>V43/1000+AB43</f>
        <v>50.314961666666669</v>
      </c>
      <c r="AD43" s="240">
        <f>V43/1000+AB43</f>
        <v>50.314961666666669</v>
      </c>
      <c r="AE43" s="240">
        <f>V43/1000+AB43</f>
        <v>50.314961666666669</v>
      </c>
      <c r="AF43" s="240">
        <f>V43/1000+AB43</f>
        <v>50.314961666666669</v>
      </c>
      <c r="AG43" s="240">
        <f>V43/1000+AB43</f>
        <v>50.314961666666669</v>
      </c>
      <c r="AH43" s="240">
        <f>V43/1000+AB43</f>
        <v>50.314961666666669</v>
      </c>
      <c r="AI43" s="240">
        <f>V43/1000+AB43</f>
        <v>50.314961666666669</v>
      </c>
      <c r="AJ43" s="240">
        <f>V43/1000+AB43</f>
        <v>50.314961666666669</v>
      </c>
      <c r="AK43" s="240">
        <f>V43/1000+AB43</f>
        <v>50.314961666666669</v>
      </c>
      <c r="AL43" s="240">
        <f>V43/1000+AB43</f>
        <v>50.314961666666669</v>
      </c>
      <c r="AM43" s="240">
        <f>V43/1000+AB43</f>
        <v>50.314961666666669</v>
      </c>
      <c r="AN43" s="240">
        <f>V43/1000+AB43</f>
        <v>50.314961666666669</v>
      </c>
      <c r="AO43" s="240">
        <f t="shared" si="56"/>
        <v>150.944885</v>
      </c>
      <c r="AP43" s="240">
        <f t="shared" si="57"/>
        <v>150.944885</v>
      </c>
      <c r="AQ43" s="240">
        <f t="shared" si="58"/>
        <v>150.944885</v>
      </c>
      <c r="AR43" s="240">
        <f t="shared" si="59"/>
        <v>150.944885</v>
      </c>
      <c r="AS43" s="240">
        <f t="shared" si="60"/>
        <v>603.77954</v>
      </c>
      <c r="AT43" s="240">
        <f t="shared" si="61"/>
        <v>46.641969465000003</v>
      </c>
      <c r="AU43" s="240">
        <f t="shared" si="62"/>
        <v>46.641969465000003</v>
      </c>
      <c r="AV43" s="240">
        <f t="shared" si="63"/>
        <v>46.641969465000003</v>
      </c>
      <c r="AW43" s="240">
        <f t="shared" si="64"/>
        <v>46.641969465000003</v>
      </c>
      <c r="AX43" s="240">
        <f t="shared" si="65"/>
        <v>186.56787786000001</v>
      </c>
      <c r="AY43" s="224">
        <f>5000/1000/4</f>
        <v>1.25</v>
      </c>
      <c r="AZ43" s="224">
        <f>3500/1000</f>
        <v>3.5</v>
      </c>
      <c r="BA43" s="225">
        <f>5000/1000</f>
        <v>5</v>
      </c>
      <c r="BB43" s="224">
        <f>3500/1000</f>
        <v>3.5</v>
      </c>
      <c r="BC43" s="240">
        <f>BC6</f>
        <v>15</v>
      </c>
      <c r="BD43" s="240"/>
      <c r="BE43" s="250"/>
      <c r="BF43" s="240">
        <f t="shared" si="78"/>
        <v>4.75</v>
      </c>
      <c r="BG43" s="240">
        <f t="shared" si="66"/>
        <v>1.25</v>
      </c>
      <c r="BH43" s="240">
        <f>AY43+BA43+BC43</f>
        <v>21.25</v>
      </c>
      <c r="BI43" s="240">
        <f t="shared" si="67"/>
        <v>4.75</v>
      </c>
      <c r="BJ43" s="240">
        <f t="shared" si="68"/>
        <v>32</v>
      </c>
      <c r="BK43" s="240">
        <f t="shared" si="79"/>
        <v>1.4677499999999999</v>
      </c>
      <c r="BL43" s="240">
        <f t="shared" si="69"/>
        <v>0.38624999999999998</v>
      </c>
      <c r="BM43" s="240">
        <f t="shared" si="70"/>
        <v>6.5662500000000001</v>
      </c>
      <c r="BN43" s="240">
        <f t="shared" si="71"/>
        <v>1.4677499999999999</v>
      </c>
      <c r="BO43" s="240">
        <f t="shared" si="72"/>
        <v>9.8879999999999999</v>
      </c>
      <c r="BP43" s="240">
        <f t="shared" si="73"/>
        <v>6.2177499999999997</v>
      </c>
      <c r="BQ43" s="240">
        <f t="shared" si="74"/>
        <v>1.63625</v>
      </c>
      <c r="BR43" s="240">
        <f t="shared" si="75"/>
        <v>27.81625</v>
      </c>
      <c r="BS43" s="240">
        <f t="shared" si="76"/>
        <v>6.2177499999999997</v>
      </c>
      <c r="BT43" s="240">
        <f t="shared" si="77"/>
        <v>41.887999999999998</v>
      </c>
    </row>
    <row r="44" spans="1:72" ht="17.25" customHeight="1" x14ac:dyDescent="0.2">
      <c r="A44" s="243" t="s">
        <v>916</v>
      </c>
      <c r="B44" s="228" t="s">
        <v>917</v>
      </c>
      <c r="C44" s="229" t="s">
        <v>946</v>
      </c>
      <c r="D44" s="248" t="s">
        <v>947</v>
      </c>
      <c r="E44" s="231">
        <v>1</v>
      </c>
      <c r="F44" s="231" t="s">
        <v>923</v>
      </c>
      <c r="G44" s="219">
        <v>5</v>
      </c>
      <c r="H44" s="275">
        <v>1.51</v>
      </c>
      <c r="I44" s="238">
        <v>9100</v>
      </c>
      <c r="J44" s="235">
        <f t="shared" si="51"/>
        <v>13741</v>
      </c>
      <c r="K44" s="275"/>
      <c r="L44" s="238"/>
      <c r="M44" s="311"/>
      <c r="N44" s="238"/>
      <c r="O44" s="245"/>
      <c r="P44" s="238"/>
      <c r="Q44" s="246">
        <v>30</v>
      </c>
      <c r="R44" s="238">
        <f t="shared" si="52"/>
        <v>4122.3</v>
      </c>
      <c r="S44" s="238">
        <f t="shared" si="53"/>
        <v>14290.64</v>
      </c>
      <c r="T44" s="238">
        <f t="shared" si="54"/>
        <v>14290.64</v>
      </c>
      <c r="U44" s="238">
        <f t="shared" si="81"/>
        <v>46444.58</v>
      </c>
      <c r="V44" s="238">
        <f>U44</f>
        <v>46444.58</v>
      </c>
      <c r="W44" s="238"/>
      <c r="X44" s="238"/>
      <c r="Y44" s="301"/>
      <c r="Z44" s="256"/>
      <c r="AA44" s="256"/>
      <c r="AB44" s="234">
        <f>V44/12/1000</f>
        <v>3.8703816666666668</v>
      </c>
      <c r="AC44" s="240">
        <f>V44/1000+AB44</f>
        <v>50.314961666666669</v>
      </c>
      <c r="AD44" s="240">
        <f>V44/1000+AB44</f>
        <v>50.314961666666669</v>
      </c>
      <c r="AE44" s="240">
        <f>V44/1000+AB44</f>
        <v>50.314961666666669</v>
      </c>
      <c r="AF44" s="240">
        <f>V44/1000+AB44</f>
        <v>50.314961666666669</v>
      </c>
      <c r="AG44" s="240">
        <f>V44/1000+AB44</f>
        <v>50.314961666666669</v>
      </c>
      <c r="AH44" s="240">
        <f>V44/1000+AB44</f>
        <v>50.314961666666669</v>
      </c>
      <c r="AI44" s="240">
        <f>V44/1000+AB44</f>
        <v>50.314961666666669</v>
      </c>
      <c r="AJ44" s="240">
        <f>V44/1000+AB44</f>
        <v>50.314961666666669</v>
      </c>
      <c r="AK44" s="240">
        <f>V44/1000+AB44</f>
        <v>50.314961666666669</v>
      </c>
      <c r="AL44" s="240">
        <f>V44/1000+AB44</f>
        <v>50.314961666666669</v>
      </c>
      <c r="AM44" s="240">
        <f>V44/1000+AB44</f>
        <v>50.314961666666669</v>
      </c>
      <c r="AN44" s="240">
        <f>V44/1000+AB44</f>
        <v>50.314961666666669</v>
      </c>
      <c r="AO44" s="240">
        <f t="shared" si="56"/>
        <v>150.944885</v>
      </c>
      <c r="AP44" s="240">
        <f t="shared" si="57"/>
        <v>150.944885</v>
      </c>
      <c r="AQ44" s="240">
        <f t="shared" si="58"/>
        <v>150.944885</v>
      </c>
      <c r="AR44" s="240">
        <f t="shared" si="59"/>
        <v>150.944885</v>
      </c>
      <c r="AS44" s="240">
        <f t="shared" si="60"/>
        <v>603.77954</v>
      </c>
      <c r="AT44" s="240">
        <f t="shared" si="61"/>
        <v>46.641969465000003</v>
      </c>
      <c r="AU44" s="240">
        <f t="shared" si="62"/>
        <v>46.641969465000003</v>
      </c>
      <c r="AV44" s="240">
        <f t="shared" si="63"/>
        <v>46.641969465000003</v>
      </c>
      <c r="AW44" s="240">
        <f t="shared" si="64"/>
        <v>46.641969465000003</v>
      </c>
      <c r="AX44" s="240">
        <f t="shared" si="65"/>
        <v>186.56787786000001</v>
      </c>
      <c r="AY44" s="224">
        <f>5000/1000/4</f>
        <v>1.25</v>
      </c>
      <c r="AZ44" s="224">
        <f>3500/1000</f>
        <v>3.5</v>
      </c>
      <c r="BA44" s="225">
        <f>5000/1000</f>
        <v>5</v>
      </c>
      <c r="BB44" s="224">
        <f>3500/1000</f>
        <v>3.5</v>
      </c>
      <c r="BC44" s="240"/>
      <c r="BD44" s="240"/>
      <c r="BE44" s="250"/>
      <c r="BF44" s="240">
        <f t="shared" si="78"/>
        <v>4.75</v>
      </c>
      <c r="BG44" s="240">
        <f t="shared" si="66"/>
        <v>1.25</v>
      </c>
      <c r="BH44" s="240">
        <f t="shared" ref="BH44:BH84" si="82">AY44+BA44</f>
        <v>6.25</v>
      </c>
      <c r="BI44" s="240">
        <f t="shared" si="67"/>
        <v>4.75</v>
      </c>
      <c r="BJ44" s="240">
        <f t="shared" si="68"/>
        <v>17</v>
      </c>
      <c r="BK44" s="240">
        <f t="shared" si="79"/>
        <v>1.4677499999999999</v>
      </c>
      <c r="BL44" s="240">
        <f t="shared" si="69"/>
        <v>0.38624999999999998</v>
      </c>
      <c r="BM44" s="240">
        <f t="shared" si="70"/>
        <v>1.9312499999999999</v>
      </c>
      <c r="BN44" s="240">
        <f t="shared" si="71"/>
        <v>1.4677499999999999</v>
      </c>
      <c r="BO44" s="240">
        <f t="shared" si="72"/>
        <v>5.2529999999999992</v>
      </c>
      <c r="BP44" s="240">
        <f t="shared" si="73"/>
        <v>6.2177499999999997</v>
      </c>
      <c r="BQ44" s="240">
        <f t="shared" si="74"/>
        <v>1.63625</v>
      </c>
      <c r="BR44" s="240">
        <f t="shared" si="75"/>
        <v>8.1812500000000004</v>
      </c>
      <c r="BS44" s="240">
        <f t="shared" si="76"/>
        <v>6.2177499999999997</v>
      </c>
      <c r="BT44" s="240">
        <f t="shared" si="77"/>
        <v>22.252999999999997</v>
      </c>
    </row>
    <row r="45" spans="1:72" ht="17.25" customHeight="1" x14ac:dyDescent="0.2">
      <c r="A45" s="243" t="s">
        <v>916</v>
      </c>
      <c r="B45" s="228" t="s">
        <v>917</v>
      </c>
      <c r="C45" s="229" t="s">
        <v>948</v>
      </c>
      <c r="D45" s="312" t="s">
        <v>949</v>
      </c>
      <c r="E45" s="231">
        <v>0.5</v>
      </c>
      <c r="F45" s="231" t="s">
        <v>923</v>
      </c>
      <c r="G45" s="219">
        <v>5</v>
      </c>
      <c r="H45" s="275">
        <v>1.51</v>
      </c>
      <c r="I45" s="238">
        <v>9100</v>
      </c>
      <c r="J45" s="235">
        <f t="shared" si="51"/>
        <v>13741</v>
      </c>
      <c r="K45" s="275"/>
      <c r="L45" s="238"/>
      <c r="M45" s="311"/>
      <c r="N45" s="238"/>
      <c r="O45" s="245"/>
      <c r="P45" s="238"/>
      <c r="Q45" s="246">
        <v>30</v>
      </c>
      <c r="R45" s="238">
        <f t="shared" si="52"/>
        <v>4122.3</v>
      </c>
      <c r="S45" s="238">
        <f t="shared" si="53"/>
        <v>14290.64</v>
      </c>
      <c r="T45" s="238">
        <f t="shared" si="54"/>
        <v>14290.64</v>
      </c>
      <c r="U45" s="238">
        <f t="shared" si="81"/>
        <v>23222.29</v>
      </c>
      <c r="V45" s="238">
        <f>U45</f>
        <v>23222.29</v>
      </c>
      <c r="W45" s="238"/>
      <c r="X45" s="238"/>
      <c r="Y45" s="301"/>
      <c r="Z45" s="256"/>
      <c r="AA45" s="256"/>
      <c r="AB45" s="234"/>
      <c r="AC45" s="240"/>
      <c r="AD45" s="240"/>
      <c r="AE45" s="240"/>
      <c r="AF45" s="240">
        <f>V45/1000</f>
        <v>23.222290000000001</v>
      </c>
      <c r="AG45" s="240">
        <f>V45/1000</f>
        <v>23.222290000000001</v>
      </c>
      <c r="AH45" s="240">
        <f>V45/1000</f>
        <v>23.222290000000001</v>
      </c>
      <c r="AI45" s="240">
        <f>V45/1000</f>
        <v>23.222290000000001</v>
      </c>
      <c r="AJ45" s="240">
        <f>V45/1000</f>
        <v>23.222290000000001</v>
      </c>
      <c r="AK45" s="240">
        <f>V45/1000</f>
        <v>23.222290000000001</v>
      </c>
      <c r="AL45" s="240"/>
      <c r="AM45" s="240"/>
      <c r="AN45" s="240"/>
      <c r="AO45" s="240">
        <f t="shared" si="56"/>
        <v>0</v>
      </c>
      <c r="AP45" s="240">
        <f t="shared" si="57"/>
        <v>69.666870000000003</v>
      </c>
      <c r="AQ45" s="240">
        <f t="shared" si="58"/>
        <v>69.666870000000003</v>
      </c>
      <c r="AR45" s="240">
        <f t="shared" si="59"/>
        <v>0</v>
      </c>
      <c r="AS45" s="240">
        <f t="shared" si="60"/>
        <v>139.33374000000001</v>
      </c>
      <c r="AT45" s="240">
        <f t="shared" si="61"/>
        <v>0</v>
      </c>
      <c r="AU45" s="240">
        <f t="shared" si="62"/>
        <v>21.527062830000002</v>
      </c>
      <c r="AV45" s="240">
        <f t="shared" si="63"/>
        <v>21.527062830000002</v>
      </c>
      <c r="AW45" s="240">
        <f t="shared" si="64"/>
        <v>0</v>
      </c>
      <c r="AX45" s="240">
        <f t="shared" si="65"/>
        <v>43.054125660000004</v>
      </c>
      <c r="AY45" s="224"/>
      <c r="AZ45" s="224"/>
      <c r="BA45" s="225"/>
      <c r="BB45" s="224"/>
      <c r="BC45" s="240"/>
      <c r="BD45" s="240"/>
      <c r="BE45" s="250"/>
      <c r="BF45" s="240">
        <f t="shared" si="78"/>
        <v>0</v>
      </c>
      <c r="BG45" s="240">
        <f t="shared" si="66"/>
        <v>0</v>
      </c>
      <c r="BH45" s="240">
        <f t="shared" si="82"/>
        <v>0</v>
      </c>
      <c r="BI45" s="240">
        <f t="shared" si="67"/>
        <v>0</v>
      </c>
      <c r="BJ45" s="240">
        <f t="shared" si="68"/>
        <v>0</v>
      </c>
      <c r="BK45" s="240">
        <f t="shared" si="79"/>
        <v>0</v>
      </c>
      <c r="BL45" s="240">
        <f t="shared" si="69"/>
        <v>0</v>
      </c>
      <c r="BM45" s="240">
        <f t="shared" si="70"/>
        <v>0</v>
      </c>
      <c r="BN45" s="240">
        <f t="shared" si="71"/>
        <v>0</v>
      </c>
      <c r="BO45" s="240">
        <f t="shared" si="72"/>
        <v>0</v>
      </c>
      <c r="BP45" s="240">
        <f t="shared" si="73"/>
        <v>0</v>
      </c>
      <c r="BQ45" s="240">
        <f t="shared" si="74"/>
        <v>0</v>
      </c>
      <c r="BR45" s="240">
        <f t="shared" si="75"/>
        <v>0</v>
      </c>
      <c r="BS45" s="240">
        <f t="shared" si="76"/>
        <v>0</v>
      </c>
      <c r="BT45" s="240">
        <f t="shared" si="77"/>
        <v>0</v>
      </c>
    </row>
    <row r="46" spans="1:72" ht="17.25" customHeight="1" x14ac:dyDescent="0.2">
      <c r="A46" s="243" t="s">
        <v>916</v>
      </c>
      <c r="B46" s="228" t="s">
        <v>917</v>
      </c>
      <c r="C46" s="229" t="s">
        <v>950</v>
      </c>
      <c r="D46" s="192" t="s">
        <v>951</v>
      </c>
      <c r="E46" s="231">
        <v>1</v>
      </c>
      <c r="F46" s="231" t="s">
        <v>923</v>
      </c>
      <c r="G46" s="219">
        <v>5</v>
      </c>
      <c r="H46" s="275">
        <v>1.51</v>
      </c>
      <c r="I46" s="238">
        <v>9100</v>
      </c>
      <c r="J46" s="238">
        <f t="shared" si="51"/>
        <v>13741</v>
      </c>
      <c r="K46" s="219"/>
      <c r="L46" s="238"/>
      <c r="M46" s="232"/>
      <c r="N46" s="238"/>
      <c r="O46" s="232"/>
      <c r="P46" s="238"/>
      <c r="Q46" s="246">
        <v>30</v>
      </c>
      <c r="R46" s="238">
        <f t="shared" si="52"/>
        <v>4122.3</v>
      </c>
      <c r="S46" s="238">
        <f t="shared" si="53"/>
        <v>14290.64</v>
      </c>
      <c r="T46" s="238">
        <f t="shared" si="54"/>
        <v>14290.64</v>
      </c>
      <c r="U46" s="238">
        <f t="shared" si="81"/>
        <v>46444.58</v>
      </c>
      <c r="V46" s="238">
        <f t="shared" ref="V46:V72" si="83">U46*E46</f>
        <v>46444.58</v>
      </c>
      <c r="W46" s="238"/>
      <c r="X46" s="238"/>
      <c r="Y46" s="301"/>
      <c r="Z46" s="256"/>
      <c r="AA46" s="256"/>
      <c r="AB46" s="234">
        <f>V46/12/1000</f>
        <v>3.8703816666666668</v>
      </c>
      <c r="AC46" s="240">
        <f>V46/1000+AB46</f>
        <v>50.314961666666669</v>
      </c>
      <c r="AD46" s="240">
        <f>V46/1000+AB46</f>
        <v>50.314961666666669</v>
      </c>
      <c r="AE46" s="240">
        <f>V46/1000+AB46</f>
        <v>50.314961666666669</v>
      </c>
      <c r="AF46" s="240">
        <f>V46/1000+AB46</f>
        <v>50.314961666666669</v>
      </c>
      <c r="AG46" s="240">
        <f>V46/1000+AB46</f>
        <v>50.314961666666669</v>
      </c>
      <c r="AH46" s="240">
        <f>V46/1000+AB46</f>
        <v>50.314961666666669</v>
      </c>
      <c r="AI46" s="240">
        <f>V46/1000+AB46</f>
        <v>50.314961666666669</v>
      </c>
      <c r="AJ46" s="240">
        <f>V46/1000+AB46</f>
        <v>50.314961666666669</v>
      </c>
      <c r="AK46" s="240">
        <f>V46/1000+AB46</f>
        <v>50.314961666666669</v>
      </c>
      <c r="AL46" s="240">
        <f>V46/1000+AB46</f>
        <v>50.314961666666669</v>
      </c>
      <c r="AM46" s="240">
        <f>V46/1000+AB46</f>
        <v>50.314961666666669</v>
      </c>
      <c r="AN46" s="240">
        <f>V46/1000+AB46</f>
        <v>50.314961666666669</v>
      </c>
      <c r="AO46" s="240">
        <f t="shared" si="56"/>
        <v>150.944885</v>
      </c>
      <c r="AP46" s="240">
        <f t="shared" si="57"/>
        <v>150.944885</v>
      </c>
      <c r="AQ46" s="240">
        <f t="shared" si="58"/>
        <v>150.944885</v>
      </c>
      <c r="AR46" s="240">
        <f t="shared" si="59"/>
        <v>150.944885</v>
      </c>
      <c r="AS46" s="240">
        <f t="shared" si="60"/>
        <v>603.77954</v>
      </c>
      <c r="AT46" s="240">
        <f t="shared" si="61"/>
        <v>46.641969465000003</v>
      </c>
      <c r="AU46" s="240">
        <f t="shared" si="62"/>
        <v>46.641969465000003</v>
      </c>
      <c r="AV46" s="240">
        <f t="shared" si="63"/>
        <v>46.641969465000003</v>
      </c>
      <c r="AW46" s="240">
        <f t="shared" si="64"/>
        <v>46.641969465000003</v>
      </c>
      <c r="AX46" s="240">
        <f t="shared" si="65"/>
        <v>186.56787786000001</v>
      </c>
      <c r="AY46" s="224">
        <f>5000/1000/4</f>
        <v>1.25</v>
      </c>
      <c r="AZ46" s="224">
        <f>3500/1000</f>
        <v>3.5</v>
      </c>
      <c r="BA46" s="225">
        <f>5000/1000</f>
        <v>5</v>
      </c>
      <c r="BB46" s="224">
        <f>3500/1000</f>
        <v>3.5</v>
      </c>
      <c r="BC46" s="240"/>
      <c r="BD46" s="240"/>
      <c r="BE46" s="250"/>
      <c r="BF46" s="240">
        <f t="shared" si="78"/>
        <v>4.75</v>
      </c>
      <c r="BG46" s="240">
        <f t="shared" si="66"/>
        <v>1.25</v>
      </c>
      <c r="BH46" s="240">
        <f t="shared" si="82"/>
        <v>6.25</v>
      </c>
      <c r="BI46" s="240">
        <f t="shared" si="67"/>
        <v>4.75</v>
      </c>
      <c r="BJ46" s="240">
        <f t="shared" si="68"/>
        <v>17</v>
      </c>
      <c r="BK46" s="240">
        <f t="shared" si="79"/>
        <v>1.4677499999999999</v>
      </c>
      <c r="BL46" s="240">
        <f t="shared" si="69"/>
        <v>0.38624999999999998</v>
      </c>
      <c r="BM46" s="240">
        <f t="shared" si="70"/>
        <v>1.9312499999999999</v>
      </c>
      <c r="BN46" s="240">
        <f t="shared" si="71"/>
        <v>1.4677499999999999</v>
      </c>
      <c r="BO46" s="240">
        <f t="shared" si="72"/>
        <v>5.2529999999999992</v>
      </c>
      <c r="BP46" s="240">
        <f t="shared" si="73"/>
        <v>6.2177499999999997</v>
      </c>
      <c r="BQ46" s="240">
        <f t="shared" si="74"/>
        <v>1.63625</v>
      </c>
      <c r="BR46" s="240">
        <f t="shared" si="75"/>
        <v>8.1812500000000004</v>
      </c>
      <c r="BS46" s="240">
        <f t="shared" si="76"/>
        <v>6.2177499999999997</v>
      </c>
      <c r="BT46" s="240">
        <f t="shared" si="77"/>
        <v>22.252999999999997</v>
      </c>
    </row>
    <row r="47" spans="1:72" ht="17.25" customHeight="1" x14ac:dyDescent="0.2">
      <c r="A47" s="243" t="s">
        <v>916</v>
      </c>
      <c r="B47" s="228" t="s">
        <v>917</v>
      </c>
      <c r="C47" s="229" t="s">
        <v>952</v>
      </c>
      <c r="D47" s="248" t="s">
        <v>953</v>
      </c>
      <c r="E47" s="231">
        <v>1</v>
      </c>
      <c r="F47" s="231" t="s">
        <v>923</v>
      </c>
      <c r="G47" s="219">
        <v>5</v>
      </c>
      <c r="H47" s="275">
        <v>1.51</v>
      </c>
      <c r="I47" s="238">
        <v>9100</v>
      </c>
      <c r="J47" s="238">
        <f t="shared" si="51"/>
        <v>13741</v>
      </c>
      <c r="K47" s="219"/>
      <c r="L47" s="238"/>
      <c r="M47" s="232"/>
      <c r="N47" s="238"/>
      <c r="O47" s="232">
        <v>40</v>
      </c>
      <c r="P47" s="238">
        <v>1832.13</v>
      </c>
      <c r="Q47" s="246">
        <v>30</v>
      </c>
      <c r="R47" s="238">
        <f t="shared" si="52"/>
        <v>4671.9399999999996</v>
      </c>
      <c r="S47" s="238">
        <f t="shared" si="53"/>
        <v>16196.06</v>
      </c>
      <c r="T47" s="238">
        <f t="shared" si="54"/>
        <v>16196.06</v>
      </c>
      <c r="U47" s="238">
        <f t="shared" ref="U47:U54" si="84">ROUND((J47+L47+N47+P47+R47+S47+T47)*E47/E47, 2)</f>
        <v>52637.19</v>
      </c>
      <c r="V47" s="238">
        <f t="shared" si="83"/>
        <v>52637.19</v>
      </c>
      <c r="W47" s="238"/>
      <c r="X47" s="238"/>
      <c r="Y47" s="301"/>
      <c r="Z47" s="256"/>
      <c r="AA47" s="256"/>
      <c r="AB47" s="234">
        <f>V47/12/1000</f>
        <v>4.3864324999999997</v>
      </c>
      <c r="AC47" s="240">
        <f>V47/1000+AB47</f>
        <v>57.023622500000002</v>
      </c>
      <c r="AD47" s="240">
        <f>V47/1000+AB47</f>
        <v>57.023622500000002</v>
      </c>
      <c r="AE47" s="240">
        <f>V47/1000+AB47</f>
        <v>57.023622500000002</v>
      </c>
      <c r="AF47" s="240">
        <f>V47/1000+AB47</f>
        <v>57.023622500000002</v>
      </c>
      <c r="AG47" s="240">
        <f>V47/1000+AB47</f>
        <v>57.023622500000002</v>
      </c>
      <c r="AH47" s="240">
        <f>V47/1000+AB47</f>
        <v>57.023622500000002</v>
      </c>
      <c r="AI47" s="240">
        <f>V47/1000+AB47</f>
        <v>57.023622500000002</v>
      </c>
      <c r="AJ47" s="240">
        <f>V47/1000+AB47</f>
        <v>57.023622500000002</v>
      </c>
      <c r="AK47" s="240">
        <f>V47/1000+AB47</f>
        <v>57.023622500000002</v>
      </c>
      <c r="AL47" s="240">
        <f>V47/1000+AB47</f>
        <v>57.023622500000002</v>
      </c>
      <c r="AM47" s="240">
        <f>V47/1000+AB47</f>
        <v>57.023622500000002</v>
      </c>
      <c r="AN47" s="240">
        <f>V47/1000+AB47</f>
        <v>57.023622500000002</v>
      </c>
      <c r="AO47" s="240">
        <f t="shared" si="56"/>
        <v>171.07086750000002</v>
      </c>
      <c r="AP47" s="240">
        <f t="shared" si="57"/>
        <v>171.07086750000002</v>
      </c>
      <c r="AQ47" s="240">
        <f t="shared" si="58"/>
        <v>171.07086750000002</v>
      </c>
      <c r="AR47" s="240">
        <f t="shared" si="59"/>
        <v>171.07086750000002</v>
      </c>
      <c r="AS47" s="240">
        <f t="shared" si="60"/>
        <v>684.28347000000008</v>
      </c>
      <c r="AT47" s="240">
        <f t="shared" si="61"/>
        <v>52.860898057500009</v>
      </c>
      <c r="AU47" s="240">
        <f t="shared" si="62"/>
        <v>52.860898057500009</v>
      </c>
      <c r="AV47" s="240">
        <f t="shared" si="63"/>
        <v>52.860898057500009</v>
      </c>
      <c r="AW47" s="240">
        <f t="shared" si="64"/>
        <v>52.860898057500009</v>
      </c>
      <c r="AX47" s="240">
        <f t="shared" si="65"/>
        <v>211.44359223000004</v>
      </c>
      <c r="AY47" s="224">
        <f>5000/1000/4</f>
        <v>1.25</v>
      </c>
      <c r="AZ47" s="224">
        <f>3500/1000</f>
        <v>3.5</v>
      </c>
      <c r="BA47" s="225">
        <f>5000/1000</f>
        <v>5</v>
      </c>
      <c r="BB47" s="224">
        <f>3500/1000</f>
        <v>3.5</v>
      </c>
      <c r="BC47" s="240"/>
      <c r="BD47" s="240"/>
      <c r="BE47" s="250"/>
      <c r="BF47" s="240">
        <f t="shared" si="78"/>
        <v>4.75</v>
      </c>
      <c r="BG47" s="240">
        <f t="shared" si="66"/>
        <v>1.25</v>
      </c>
      <c r="BH47" s="240">
        <f t="shared" si="82"/>
        <v>6.25</v>
      </c>
      <c r="BI47" s="240">
        <f t="shared" si="67"/>
        <v>4.75</v>
      </c>
      <c r="BJ47" s="240">
        <f t="shared" si="68"/>
        <v>17</v>
      </c>
      <c r="BK47" s="240">
        <f t="shared" si="79"/>
        <v>1.4677499999999999</v>
      </c>
      <c r="BL47" s="240">
        <f t="shared" si="69"/>
        <v>0.38624999999999998</v>
      </c>
      <c r="BM47" s="240">
        <f t="shared" si="70"/>
        <v>1.9312499999999999</v>
      </c>
      <c r="BN47" s="240">
        <f t="shared" si="71"/>
        <v>1.4677499999999999</v>
      </c>
      <c r="BO47" s="240">
        <f t="shared" si="72"/>
        <v>5.2529999999999992</v>
      </c>
      <c r="BP47" s="240">
        <f t="shared" si="73"/>
        <v>6.2177499999999997</v>
      </c>
      <c r="BQ47" s="240">
        <f t="shared" si="74"/>
        <v>1.63625</v>
      </c>
      <c r="BR47" s="240">
        <f t="shared" si="75"/>
        <v>8.1812500000000004</v>
      </c>
      <c r="BS47" s="240">
        <f t="shared" si="76"/>
        <v>6.2177499999999997</v>
      </c>
      <c r="BT47" s="240">
        <f t="shared" si="77"/>
        <v>22.252999999999997</v>
      </c>
    </row>
    <row r="48" spans="1:72" ht="25.5" customHeight="1" x14ac:dyDescent="0.2">
      <c r="A48" s="243" t="s">
        <v>916</v>
      </c>
      <c r="B48" s="228" t="s">
        <v>917</v>
      </c>
      <c r="C48" s="229" t="s">
        <v>952</v>
      </c>
      <c r="D48" s="248" t="s">
        <v>954</v>
      </c>
      <c r="E48" s="231">
        <v>1</v>
      </c>
      <c r="F48" s="231" t="s">
        <v>923</v>
      </c>
      <c r="G48" s="219">
        <v>5</v>
      </c>
      <c r="H48" s="275">
        <v>1.51</v>
      </c>
      <c r="I48" s="238">
        <v>9100</v>
      </c>
      <c r="J48" s="238">
        <f t="shared" si="51"/>
        <v>13741</v>
      </c>
      <c r="K48" s="219"/>
      <c r="L48" s="238"/>
      <c r="M48" s="232"/>
      <c r="N48" s="238"/>
      <c r="O48" s="232">
        <v>40</v>
      </c>
      <c r="P48" s="238">
        <v>1832.13</v>
      </c>
      <c r="Q48" s="246">
        <v>30</v>
      </c>
      <c r="R48" s="238">
        <f t="shared" si="52"/>
        <v>4671.9399999999996</v>
      </c>
      <c r="S48" s="238">
        <f t="shared" si="53"/>
        <v>16196.06</v>
      </c>
      <c r="T48" s="238">
        <f t="shared" si="54"/>
        <v>16196.06</v>
      </c>
      <c r="U48" s="238">
        <f t="shared" si="84"/>
        <v>52637.19</v>
      </c>
      <c r="V48" s="238">
        <f t="shared" si="83"/>
        <v>52637.19</v>
      </c>
      <c r="W48" s="238"/>
      <c r="X48" s="238"/>
      <c r="Y48" s="301"/>
      <c r="Z48" s="256"/>
      <c r="AA48" s="256"/>
      <c r="AB48" s="234">
        <f>V48/12/1000</f>
        <v>4.3864324999999997</v>
      </c>
      <c r="AC48" s="240">
        <f>V48/1000+AB48</f>
        <v>57.023622500000002</v>
      </c>
      <c r="AD48" s="240">
        <f>V48/1000+AB48</f>
        <v>57.023622500000002</v>
      </c>
      <c r="AE48" s="240">
        <f>V48/1000+AB48</f>
        <v>57.023622500000002</v>
      </c>
      <c r="AF48" s="240">
        <f>V48/1000+AB48</f>
        <v>57.023622500000002</v>
      </c>
      <c r="AG48" s="240">
        <f>V48/1000+AB48</f>
        <v>57.023622500000002</v>
      </c>
      <c r="AH48" s="240">
        <f>V48/1000+AB48</f>
        <v>57.023622500000002</v>
      </c>
      <c r="AI48" s="240">
        <f>V48/1000+AB48</f>
        <v>57.023622500000002</v>
      </c>
      <c r="AJ48" s="240">
        <f>V48/1000+AB48</f>
        <v>57.023622500000002</v>
      </c>
      <c r="AK48" s="240">
        <f>V48/1000+AB48</f>
        <v>57.023622500000002</v>
      </c>
      <c r="AL48" s="240">
        <f>V48/1000+AB48</f>
        <v>57.023622500000002</v>
      </c>
      <c r="AM48" s="240">
        <f>V48/1000+AB48</f>
        <v>57.023622500000002</v>
      </c>
      <c r="AN48" s="240">
        <f>V48/1000+AB48</f>
        <v>57.023622500000002</v>
      </c>
      <c r="AO48" s="240">
        <f t="shared" si="56"/>
        <v>171.07086750000002</v>
      </c>
      <c r="AP48" s="240">
        <f t="shared" si="57"/>
        <v>171.07086750000002</v>
      </c>
      <c r="AQ48" s="240">
        <f t="shared" si="58"/>
        <v>171.07086750000002</v>
      </c>
      <c r="AR48" s="240">
        <f t="shared" si="59"/>
        <v>171.07086750000002</v>
      </c>
      <c r="AS48" s="240">
        <f t="shared" si="60"/>
        <v>684.28347000000008</v>
      </c>
      <c r="AT48" s="240">
        <f t="shared" si="61"/>
        <v>52.860898057500009</v>
      </c>
      <c r="AU48" s="240">
        <f t="shared" si="62"/>
        <v>52.860898057500009</v>
      </c>
      <c r="AV48" s="240">
        <f t="shared" si="63"/>
        <v>52.860898057500009</v>
      </c>
      <c r="AW48" s="240">
        <f t="shared" si="64"/>
        <v>52.860898057500009</v>
      </c>
      <c r="AX48" s="240">
        <f t="shared" si="65"/>
        <v>211.44359223000004</v>
      </c>
      <c r="AY48" s="224">
        <f>5000/1000/4</f>
        <v>1.25</v>
      </c>
      <c r="AZ48" s="224">
        <f>3500/1000</f>
        <v>3.5</v>
      </c>
      <c r="BA48" s="225">
        <f>5000/1000</f>
        <v>5</v>
      </c>
      <c r="BB48" s="224">
        <f>3500/1000</f>
        <v>3.5</v>
      </c>
      <c r="BC48" s="240"/>
      <c r="BD48" s="240"/>
      <c r="BE48" s="250"/>
      <c r="BF48" s="240">
        <f t="shared" si="78"/>
        <v>4.75</v>
      </c>
      <c r="BG48" s="240">
        <f t="shared" si="66"/>
        <v>1.25</v>
      </c>
      <c r="BH48" s="240">
        <f t="shared" si="82"/>
        <v>6.25</v>
      </c>
      <c r="BI48" s="240">
        <f t="shared" si="67"/>
        <v>4.75</v>
      </c>
      <c r="BJ48" s="240">
        <f t="shared" si="68"/>
        <v>17</v>
      </c>
      <c r="BK48" s="240">
        <f t="shared" si="79"/>
        <v>1.4677499999999999</v>
      </c>
      <c r="BL48" s="240">
        <f t="shared" si="69"/>
        <v>0.38624999999999998</v>
      </c>
      <c r="BM48" s="240">
        <f t="shared" si="70"/>
        <v>1.9312499999999999</v>
      </c>
      <c r="BN48" s="240">
        <f t="shared" si="71"/>
        <v>1.4677499999999999</v>
      </c>
      <c r="BO48" s="240">
        <f t="shared" si="72"/>
        <v>5.2529999999999992</v>
      </c>
      <c r="BP48" s="240">
        <f t="shared" si="73"/>
        <v>6.2177499999999997</v>
      </c>
      <c r="BQ48" s="240">
        <f t="shared" si="74"/>
        <v>1.63625</v>
      </c>
      <c r="BR48" s="240">
        <f t="shared" si="75"/>
        <v>8.1812500000000004</v>
      </c>
      <c r="BS48" s="240">
        <f t="shared" si="76"/>
        <v>6.2177499999999997</v>
      </c>
      <c r="BT48" s="240">
        <f t="shared" si="77"/>
        <v>22.252999999999997</v>
      </c>
    </row>
    <row r="49" spans="1:72" ht="18.75" customHeight="1" x14ac:dyDescent="0.2">
      <c r="A49" s="243" t="s">
        <v>916</v>
      </c>
      <c r="B49" s="228" t="s">
        <v>917</v>
      </c>
      <c r="C49" s="229" t="s">
        <v>952</v>
      </c>
      <c r="D49" s="248" t="s">
        <v>955</v>
      </c>
      <c r="E49" s="231">
        <v>1</v>
      </c>
      <c r="F49" s="231" t="s">
        <v>923</v>
      </c>
      <c r="G49" s="219">
        <v>5</v>
      </c>
      <c r="H49" s="275">
        <v>1.51</v>
      </c>
      <c r="I49" s="238">
        <v>9100</v>
      </c>
      <c r="J49" s="238">
        <f t="shared" si="51"/>
        <v>13741</v>
      </c>
      <c r="K49" s="219"/>
      <c r="L49" s="238"/>
      <c r="M49" s="232"/>
      <c r="N49" s="238"/>
      <c r="O49" s="232">
        <v>40</v>
      </c>
      <c r="P49" s="238">
        <v>1832.13</v>
      </c>
      <c r="Q49" s="246">
        <v>30</v>
      </c>
      <c r="R49" s="238">
        <f t="shared" si="52"/>
        <v>4671.9399999999996</v>
      </c>
      <c r="S49" s="238">
        <f t="shared" si="53"/>
        <v>16196.06</v>
      </c>
      <c r="T49" s="238">
        <f t="shared" si="54"/>
        <v>16196.06</v>
      </c>
      <c r="U49" s="238">
        <f t="shared" si="84"/>
        <v>52637.19</v>
      </c>
      <c r="V49" s="238">
        <f t="shared" si="83"/>
        <v>52637.19</v>
      </c>
      <c r="W49" s="238"/>
      <c r="X49" s="238"/>
      <c r="Y49" s="301"/>
      <c r="Z49" s="256"/>
      <c r="AA49" s="256"/>
      <c r="AB49" s="234">
        <f>V49/12/1000</f>
        <v>4.3864324999999997</v>
      </c>
      <c r="AC49" s="240">
        <f>V49/1000+AB49</f>
        <v>57.023622500000002</v>
      </c>
      <c r="AD49" s="240">
        <f>V49/1000+AB49</f>
        <v>57.023622500000002</v>
      </c>
      <c r="AE49" s="240">
        <f>V49/1000+AB49</f>
        <v>57.023622500000002</v>
      </c>
      <c r="AF49" s="240">
        <f>V49/1000+AB49</f>
        <v>57.023622500000002</v>
      </c>
      <c r="AG49" s="240">
        <f>V49/1000+AB49</f>
        <v>57.023622500000002</v>
      </c>
      <c r="AH49" s="240">
        <f>V49/1000+AB49</f>
        <v>57.023622500000002</v>
      </c>
      <c r="AI49" s="240">
        <f>V49/1000+AB49</f>
        <v>57.023622500000002</v>
      </c>
      <c r="AJ49" s="240">
        <f>V49/1000+AB49</f>
        <v>57.023622500000002</v>
      </c>
      <c r="AK49" s="240">
        <f>V49/1000+AB49</f>
        <v>57.023622500000002</v>
      </c>
      <c r="AL49" s="240">
        <f>V49/1000+AB49</f>
        <v>57.023622500000002</v>
      </c>
      <c r="AM49" s="240">
        <f>V49/1000+AB49</f>
        <v>57.023622500000002</v>
      </c>
      <c r="AN49" s="240">
        <f>V49/1000+AB49</f>
        <v>57.023622500000002</v>
      </c>
      <c r="AO49" s="240">
        <f t="shared" si="56"/>
        <v>171.07086750000002</v>
      </c>
      <c r="AP49" s="240">
        <f t="shared" si="57"/>
        <v>171.07086750000002</v>
      </c>
      <c r="AQ49" s="240">
        <f t="shared" si="58"/>
        <v>171.07086750000002</v>
      </c>
      <c r="AR49" s="240">
        <f t="shared" si="59"/>
        <v>171.07086750000002</v>
      </c>
      <c r="AS49" s="240">
        <f t="shared" si="60"/>
        <v>684.28347000000008</v>
      </c>
      <c r="AT49" s="240">
        <f t="shared" si="61"/>
        <v>52.860898057500009</v>
      </c>
      <c r="AU49" s="240">
        <f t="shared" si="62"/>
        <v>52.860898057500009</v>
      </c>
      <c r="AV49" s="240">
        <f t="shared" si="63"/>
        <v>52.860898057500009</v>
      </c>
      <c r="AW49" s="240">
        <f t="shared" si="64"/>
        <v>52.860898057500009</v>
      </c>
      <c r="AX49" s="240">
        <f t="shared" si="65"/>
        <v>211.44359223000004</v>
      </c>
      <c r="AY49" s="224">
        <f>5000/1000/4</f>
        <v>1.25</v>
      </c>
      <c r="AZ49" s="224">
        <f>3500/1000</f>
        <v>3.5</v>
      </c>
      <c r="BA49" s="225">
        <f>5000/1000</f>
        <v>5</v>
      </c>
      <c r="BB49" s="224">
        <f>3500/1000</f>
        <v>3.5</v>
      </c>
      <c r="BC49" s="240"/>
      <c r="BD49" s="240"/>
      <c r="BE49" s="250"/>
      <c r="BF49" s="240">
        <f t="shared" si="78"/>
        <v>4.75</v>
      </c>
      <c r="BG49" s="240">
        <f t="shared" si="66"/>
        <v>1.25</v>
      </c>
      <c r="BH49" s="240">
        <f t="shared" si="82"/>
        <v>6.25</v>
      </c>
      <c r="BI49" s="240">
        <f t="shared" si="67"/>
        <v>4.75</v>
      </c>
      <c r="BJ49" s="240">
        <f t="shared" si="68"/>
        <v>17</v>
      </c>
      <c r="BK49" s="240">
        <f t="shared" si="79"/>
        <v>1.4677499999999999</v>
      </c>
      <c r="BL49" s="240">
        <f t="shared" si="69"/>
        <v>0.38624999999999998</v>
      </c>
      <c r="BM49" s="240">
        <f t="shared" si="70"/>
        <v>1.9312499999999999</v>
      </c>
      <c r="BN49" s="240">
        <f t="shared" si="71"/>
        <v>1.4677499999999999</v>
      </c>
      <c r="BO49" s="240">
        <f t="shared" si="72"/>
        <v>5.2529999999999992</v>
      </c>
      <c r="BP49" s="240">
        <f t="shared" si="73"/>
        <v>6.2177499999999997</v>
      </c>
      <c r="BQ49" s="240">
        <f t="shared" si="74"/>
        <v>1.63625</v>
      </c>
      <c r="BR49" s="240">
        <f t="shared" si="75"/>
        <v>8.1812500000000004</v>
      </c>
      <c r="BS49" s="240">
        <f t="shared" si="76"/>
        <v>6.2177499999999997</v>
      </c>
      <c r="BT49" s="240">
        <f t="shared" si="77"/>
        <v>22.252999999999997</v>
      </c>
    </row>
    <row r="50" spans="1:72" ht="18" customHeight="1" x14ac:dyDescent="0.2">
      <c r="A50" s="243" t="s">
        <v>916</v>
      </c>
      <c r="B50" s="228" t="s">
        <v>917</v>
      </c>
      <c r="C50" s="229" t="s">
        <v>952</v>
      </c>
      <c r="D50" s="312" t="s">
        <v>956</v>
      </c>
      <c r="E50" s="231">
        <v>1</v>
      </c>
      <c r="F50" s="231" t="s">
        <v>923</v>
      </c>
      <c r="G50" s="219">
        <v>5</v>
      </c>
      <c r="H50" s="275">
        <v>1.51</v>
      </c>
      <c r="I50" s="238">
        <v>9100</v>
      </c>
      <c r="J50" s="238">
        <f t="shared" si="51"/>
        <v>13741</v>
      </c>
      <c r="K50" s="219"/>
      <c r="L50" s="238"/>
      <c r="M50" s="232"/>
      <c r="N50" s="238"/>
      <c r="O50" s="232">
        <v>40</v>
      </c>
      <c r="P50" s="238">
        <v>1832.13</v>
      </c>
      <c r="Q50" s="246">
        <v>30</v>
      </c>
      <c r="R50" s="238">
        <f t="shared" si="52"/>
        <v>4671.9399999999996</v>
      </c>
      <c r="S50" s="238">
        <f t="shared" si="53"/>
        <v>16196.06</v>
      </c>
      <c r="T50" s="238">
        <f t="shared" si="54"/>
        <v>16196.06</v>
      </c>
      <c r="U50" s="238">
        <f t="shared" si="84"/>
        <v>52637.19</v>
      </c>
      <c r="V50" s="238">
        <f t="shared" si="83"/>
        <v>52637.19</v>
      </c>
      <c r="W50" s="238"/>
      <c r="X50" s="238"/>
      <c r="Y50" s="301"/>
      <c r="Z50" s="256"/>
      <c r="AA50" s="256"/>
      <c r="AB50" s="234"/>
      <c r="AC50" s="240">
        <f>V50/1000</f>
        <v>52.637190000000004</v>
      </c>
      <c r="AD50" s="240">
        <f>V50/1000</f>
        <v>52.637190000000004</v>
      </c>
      <c r="AE50" s="240">
        <f>V50/1000</f>
        <v>52.637190000000004</v>
      </c>
      <c r="AF50" s="240">
        <f t="shared" ref="AF50:AF55" si="85">V50/1000</f>
        <v>52.637190000000004</v>
      </c>
      <c r="AG50" s="240">
        <f t="shared" ref="AG50:AG55" si="86">V50/1000</f>
        <v>52.637190000000004</v>
      </c>
      <c r="AH50" s="240">
        <f t="shared" ref="AH50:AH55" si="87">V50/1000</f>
        <v>52.637190000000004</v>
      </c>
      <c r="AI50" s="240">
        <f t="shared" ref="AI50:AI55" si="88">V50/1000</f>
        <v>52.637190000000004</v>
      </c>
      <c r="AJ50" s="240">
        <f t="shared" ref="AJ50:AJ55" si="89">V50/1000</f>
        <v>52.637190000000004</v>
      </c>
      <c r="AK50" s="240">
        <f>V50/1000</f>
        <v>52.637190000000004</v>
      </c>
      <c r="AL50" s="240">
        <f>V50/1000</f>
        <v>52.637190000000004</v>
      </c>
      <c r="AM50" s="240">
        <f>V50/1000</f>
        <v>52.637190000000004</v>
      </c>
      <c r="AN50" s="240">
        <f>V50/1000</f>
        <v>52.637190000000004</v>
      </c>
      <c r="AO50" s="240">
        <f t="shared" si="56"/>
        <v>157.91157000000001</v>
      </c>
      <c r="AP50" s="240">
        <f t="shared" si="57"/>
        <v>157.91157000000001</v>
      </c>
      <c r="AQ50" s="240">
        <f t="shared" si="58"/>
        <v>157.91157000000001</v>
      </c>
      <c r="AR50" s="240">
        <f t="shared" si="59"/>
        <v>157.91157000000001</v>
      </c>
      <c r="AS50" s="240">
        <f t="shared" si="60"/>
        <v>631.64628000000005</v>
      </c>
      <c r="AT50" s="240">
        <f t="shared" si="61"/>
        <v>48.794675130000002</v>
      </c>
      <c r="AU50" s="240">
        <f t="shared" si="62"/>
        <v>48.794675130000002</v>
      </c>
      <c r="AV50" s="240">
        <f t="shared" si="63"/>
        <v>48.794675130000002</v>
      </c>
      <c r="AW50" s="240">
        <f t="shared" si="64"/>
        <v>48.794675130000002</v>
      </c>
      <c r="AX50" s="240">
        <f t="shared" si="65"/>
        <v>195.17870052000001</v>
      </c>
      <c r="AY50" s="224"/>
      <c r="AZ50" s="224"/>
      <c r="BA50" s="225"/>
      <c r="BB50" s="224"/>
      <c r="BC50" s="240"/>
      <c r="BD50" s="240"/>
      <c r="BE50" s="250"/>
      <c r="BF50" s="240">
        <f t="shared" si="78"/>
        <v>0</v>
      </c>
      <c r="BG50" s="240">
        <f t="shared" si="66"/>
        <v>0</v>
      </c>
      <c r="BH50" s="240">
        <f t="shared" si="82"/>
        <v>0</v>
      </c>
      <c r="BI50" s="240">
        <f t="shared" si="67"/>
        <v>0</v>
      </c>
      <c r="BJ50" s="240">
        <f t="shared" si="68"/>
        <v>0</v>
      </c>
      <c r="BK50" s="240">
        <f t="shared" si="79"/>
        <v>0</v>
      </c>
      <c r="BL50" s="240">
        <f t="shared" si="69"/>
        <v>0</v>
      </c>
      <c r="BM50" s="240">
        <f t="shared" si="70"/>
        <v>0</v>
      </c>
      <c r="BN50" s="240">
        <f t="shared" si="71"/>
        <v>0</v>
      </c>
      <c r="BO50" s="240">
        <f t="shared" si="72"/>
        <v>0</v>
      </c>
      <c r="BP50" s="240">
        <f t="shared" si="73"/>
        <v>0</v>
      </c>
      <c r="BQ50" s="240">
        <f t="shared" si="74"/>
        <v>0</v>
      </c>
      <c r="BR50" s="240">
        <f t="shared" si="75"/>
        <v>0</v>
      </c>
      <c r="BS50" s="240">
        <f t="shared" si="76"/>
        <v>0</v>
      </c>
      <c r="BT50" s="240">
        <f t="shared" si="77"/>
        <v>0</v>
      </c>
    </row>
    <row r="51" spans="1:72" s="277" customFormat="1" ht="27" customHeight="1" x14ac:dyDescent="0.2">
      <c r="A51" s="278" t="s">
        <v>916</v>
      </c>
      <c r="B51" s="279" t="s">
        <v>917</v>
      </c>
      <c r="C51" s="280" t="s">
        <v>957</v>
      </c>
      <c r="D51" s="297" t="s">
        <v>926</v>
      </c>
      <c r="E51" s="282">
        <v>1</v>
      </c>
      <c r="F51" s="282" t="s">
        <v>923</v>
      </c>
      <c r="G51" s="283">
        <v>4</v>
      </c>
      <c r="H51" s="284">
        <v>1.36</v>
      </c>
      <c r="I51" s="285">
        <v>9100</v>
      </c>
      <c r="J51" s="285">
        <f t="shared" si="51"/>
        <v>12376</v>
      </c>
      <c r="K51" s="307"/>
      <c r="L51" s="287"/>
      <c r="M51" s="286"/>
      <c r="N51" s="287"/>
      <c r="O51" s="288">
        <v>40</v>
      </c>
      <c r="P51" s="285">
        <v>1346.8</v>
      </c>
      <c r="Q51" s="289">
        <v>20</v>
      </c>
      <c r="R51" s="285">
        <f t="shared" si="52"/>
        <v>2744.56</v>
      </c>
      <c r="S51" s="285">
        <f t="shared" si="53"/>
        <v>13173.89</v>
      </c>
      <c r="T51" s="285">
        <f t="shared" si="54"/>
        <v>13173.89</v>
      </c>
      <c r="U51" s="285">
        <f t="shared" si="84"/>
        <v>42815.14</v>
      </c>
      <c r="V51" s="285">
        <f t="shared" si="83"/>
        <v>42815.14</v>
      </c>
      <c r="W51" s="285"/>
      <c r="X51" s="285"/>
      <c r="Y51" s="290"/>
      <c r="Z51" s="291">
        <f>52/12*6</f>
        <v>26</v>
      </c>
      <c r="AA51" s="291"/>
      <c r="AB51" s="292"/>
      <c r="AC51" s="293"/>
      <c r="AD51" s="293"/>
      <c r="AE51" s="293"/>
      <c r="AF51" s="293">
        <f t="shared" si="85"/>
        <v>42.81514</v>
      </c>
      <c r="AG51" s="293">
        <f t="shared" si="86"/>
        <v>42.81514</v>
      </c>
      <c r="AH51" s="293">
        <f t="shared" si="87"/>
        <v>42.81514</v>
      </c>
      <c r="AI51" s="293">
        <f t="shared" si="88"/>
        <v>42.81514</v>
      </c>
      <c r="AJ51" s="293">
        <f t="shared" si="89"/>
        <v>42.81514</v>
      </c>
      <c r="AK51" s="293">
        <f>V51/1000+(AF51+AG51+AH51+AI51+AJ51+42.82)/6/29.3*26</f>
        <v>80.808815767918077</v>
      </c>
      <c r="AL51" s="293"/>
      <c r="AM51" s="293"/>
      <c r="AN51" s="293"/>
      <c r="AO51" s="293">
        <f t="shared" si="56"/>
        <v>0</v>
      </c>
      <c r="AP51" s="293">
        <f t="shared" si="57"/>
        <v>128.44542000000001</v>
      </c>
      <c r="AQ51" s="293">
        <f t="shared" si="58"/>
        <v>166.43909576791808</v>
      </c>
      <c r="AR51" s="293">
        <f t="shared" si="59"/>
        <v>0</v>
      </c>
      <c r="AS51" s="293">
        <f t="shared" si="60"/>
        <v>294.88451576791806</v>
      </c>
      <c r="AT51" s="293">
        <f t="shared" si="61"/>
        <v>0</v>
      </c>
      <c r="AU51" s="293">
        <f t="shared" si="62"/>
        <v>39.689634780000006</v>
      </c>
      <c r="AV51" s="293">
        <f t="shared" si="63"/>
        <v>51.429680592286687</v>
      </c>
      <c r="AW51" s="293">
        <f t="shared" si="64"/>
        <v>0</v>
      </c>
      <c r="AX51" s="293">
        <f t="shared" si="65"/>
        <v>91.119315372286692</v>
      </c>
      <c r="AY51" s="294"/>
      <c r="AZ51" s="294"/>
      <c r="BA51" s="295"/>
      <c r="BB51" s="294"/>
      <c r="BC51" s="293"/>
      <c r="BD51" s="293"/>
      <c r="BE51" s="296"/>
      <c r="BF51" s="293">
        <f t="shared" si="78"/>
        <v>0</v>
      </c>
      <c r="BG51" s="293">
        <f t="shared" si="66"/>
        <v>0</v>
      </c>
      <c r="BH51" s="293">
        <f t="shared" si="82"/>
        <v>0</v>
      </c>
      <c r="BI51" s="293">
        <f t="shared" si="67"/>
        <v>0</v>
      </c>
      <c r="BJ51" s="293">
        <f t="shared" si="68"/>
        <v>0</v>
      </c>
      <c r="BK51" s="293">
        <f t="shared" si="79"/>
        <v>0</v>
      </c>
      <c r="BL51" s="293">
        <f t="shared" si="69"/>
        <v>0</v>
      </c>
      <c r="BM51" s="293">
        <f t="shared" si="70"/>
        <v>0</v>
      </c>
      <c r="BN51" s="293">
        <f t="shared" si="71"/>
        <v>0</v>
      </c>
      <c r="BO51" s="293">
        <f t="shared" si="72"/>
        <v>0</v>
      </c>
      <c r="BP51" s="293">
        <f t="shared" si="73"/>
        <v>0</v>
      </c>
      <c r="BQ51" s="293">
        <f t="shared" si="74"/>
        <v>0</v>
      </c>
      <c r="BR51" s="293">
        <f t="shared" si="75"/>
        <v>0</v>
      </c>
      <c r="BS51" s="293">
        <f t="shared" si="76"/>
        <v>0</v>
      </c>
      <c r="BT51" s="293">
        <f t="shared" si="77"/>
        <v>0</v>
      </c>
    </row>
    <row r="52" spans="1:72" s="277" customFormat="1" ht="27" customHeight="1" x14ac:dyDescent="0.2">
      <c r="A52" s="278" t="s">
        <v>916</v>
      </c>
      <c r="B52" s="279" t="s">
        <v>917</v>
      </c>
      <c r="C52" s="280" t="s">
        <v>957</v>
      </c>
      <c r="D52" s="297" t="s">
        <v>926</v>
      </c>
      <c r="E52" s="282">
        <v>1</v>
      </c>
      <c r="F52" s="282" t="s">
        <v>923</v>
      </c>
      <c r="G52" s="283">
        <v>4</v>
      </c>
      <c r="H52" s="284">
        <v>1.36</v>
      </c>
      <c r="I52" s="285">
        <v>9100</v>
      </c>
      <c r="J52" s="285">
        <f t="shared" si="51"/>
        <v>12376</v>
      </c>
      <c r="K52" s="307"/>
      <c r="L52" s="287"/>
      <c r="M52" s="286"/>
      <c r="N52" s="287"/>
      <c r="O52" s="288">
        <v>40</v>
      </c>
      <c r="P52" s="285">
        <v>1346.8</v>
      </c>
      <c r="Q52" s="289">
        <v>20</v>
      </c>
      <c r="R52" s="285">
        <f t="shared" si="52"/>
        <v>2744.56</v>
      </c>
      <c r="S52" s="285">
        <f t="shared" si="53"/>
        <v>13173.89</v>
      </c>
      <c r="T52" s="285">
        <f t="shared" si="54"/>
        <v>13173.89</v>
      </c>
      <c r="U52" s="285">
        <f t="shared" si="84"/>
        <v>42815.14</v>
      </c>
      <c r="V52" s="285">
        <f t="shared" si="83"/>
        <v>42815.14</v>
      </c>
      <c r="W52" s="285"/>
      <c r="X52" s="285"/>
      <c r="Y52" s="290"/>
      <c r="Z52" s="291">
        <f>52/12*6</f>
        <v>26</v>
      </c>
      <c r="AA52" s="291"/>
      <c r="AB52" s="292"/>
      <c r="AC52" s="293"/>
      <c r="AD52" s="293"/>
      <c r="AE52" s="293"/>
      <c r="AF52" s="293">
        <f t="shared" si="85"/>
        <v>42.81514</v>
      </c>
      <c r="AG52" s="293">
        <f t="shared" si="86"/>
        <v>42.81514</v>
      </c>
      <c r="AH52" s="293">
        <f t="shared" si="87"/>
        <v>42.81514</v>
      </c>
      <c r="AI52" s="293">
        <f t="shared" si="88"/>
        <v>42.81514</v>
      </c>
      <c r="AJ52" s="293">
        <f t="shared" si="89"/>
        <v>42.81514</v>
      </c>
      <c r="AK52" s="293">
        <f>V52/1000+(AF52+AG52+AH52+AI52+AJ52+42.82)/6/29.3*26</f>
        <v>80.808815767918077</v>
      </c>
      <c r="AL52" s="293"/>
      <c r="AM52" s="293"/>
      <c r="AN52" s="293"/>
      <c r="AO52" s="293">
        <f t="shared" si="56"/>
        <v>0</v>
      </c>
      <c r="AP52" s="293">
        <f t="shared" si="57"/>
        <v>128.44542000000001</v>
      </c>
      <c r="AQ52" s="293">
        <f t="shared" si="58"/>
        <v>166.43909576791808</v>
      </c>
      <c r="AR52" s="293">
        <f t="shared" si="59"/>
        <v>0</v>
      </c>
      <c r="AS52" s="293">
        <f t="shared" si="60"/>
        <v>294.88451576791806</v>
      </c>
      <c r="AT52" s="293">
        <f t="shared" si="61"/>
        <v>0</v>
      </c>
      <c r="AU52" s="293">
        <f t="shared" si="62"/>
        <v>39.689634780000006</v>
      </c>
      <c r="AV52" s="293">
        <f t="shared" si="63"/>
        <v>51.429680592286687</v>
      </c>
      <c r="AW52" s="293">
        <f t="shared" si="64"/>
        <v>0</v>
      </c>
      <c r="AX52" s="293">
        <f t="shared" si="65"/>
        <v>91.119315372286692</v>
      </c>
      <c r="AY52" s="294"/>
      <c r="AZ52" s="294"/>
      <c r="BA52" s="295"/>
      <c r="BB52" s="294"/>
      <c r="BC52" s="293"/>
      <c r="BD52" s="293"/>
      <c r="BE52" s="296"/>
      <c r="BF52" s="293">
        <f t="shared" si="78"/>
        <v>0</v>
      </c>
      <c r="BG52" s="293">
        <f t="shared" si="66"/>
        <v>0</v>
      </c>
      <c r="BH52" s="293">
        <f t="shared" si="82"/>
        <v>0</v>
      </c>
      <c r="BI52" s="293">
        <f t="shared" si="67"/>
        <v>0</v>
      </c>
      <c r="BJ52" s="293">
        <f t="shared" si="68"/>
        <v>0</v>
      </c>
      <c r="BK52" s="293">
        <f t="shared" si="79"/>
        <v>0</v>
      </c>
      <c r="BL52" s="293">
        <f t="shared" si="69"/>
        <v>0</v>
      </c>
      <c r="BM52" s="293">
        <f t="shared" si="70"/>
        <v>0</v>
      </c>
      <c r="BN52" s="293">
        <f t="shared" si="71"/>
        <v>0</v>
      </c>
      <c r="BO52" s="293">
        <f t="shared" si="72"/>
        <v>0</v>
      </c>
      <c r="BP52" s="293">
        <f t="shared" si="73"/>
        <v>0</v>
      </c>
      <c r="BQ52" s="293">
        <f t="shared" si="74"/>
        <v>0</v>
      </c>
      <c r="BR52" s="293">
        <f t="shared" si="75"/>
        <v>0</v>
      </c>
      <c r="BS52" s="293">
        <f t="shared" si="76"/>
        <v>0</v>
      </c>
      <c r="BT52" s="293">
        <f t="shared" si="77"/>
        <v>0</v>
      </c>
    </row>
    <row r="53" spans="1:72" s="277" customFormat="1" ht="27" customHeight="1" x14ac:dyDescent="0.2">
      <c r="A53" s="278" t="s">
        <v>916</v>
      </c>
      <c r="B53" s="279" t="s">
        <v>917</v>
      </c>
      <c r="C53" s="280" t="s">
        <v>957</v>
      </c>
      <c r="D53" s="297" t="s">
        <v>926</v>
      </c>
      <c r="E53" s="282">
        <v>1</v>
      </c>
      <c r="F53" s="282" t="s">
        <v>923</v>
      </c>
      <c r="G53" s="283">
        <v>4</v>
      </c>
      <c r="H53" s="284">
        <v>1.36</v>
      </c>
      <c r="I53" s="285">
        <v>9100</v>
      </c>
      <c r="J53" s="285">
        <f t="shared" si="51"/>
        <v>12376</v>
      </c>
      <c r="K53" s="307"/>
      <c r="L53" s="287"/>
      <c r="M53" s="286"/>
      <c r="N53" s="287"/>
      <c r="O53" s="288">
        <v>40</v>
      </c>
      <c r="P53" s="285">
        <v>1346.8</v>
      </c>
      <c r="Q53" s="289">
        <v>20</v>
      </c>
      <c r="R53" s="285">
        <f t="shared" si="52"/>
        <v>2744.56</v>
      </c>
      <c r="S53" s="285">
        <f t="shared" si="53"/>
        <v>13173.89</v>
      </c>
      <c r="T53" s="285">
        <f t="shared" si="54"/>
        <v>13173.89</v>
      </c>
      <c r="U53" s="285">
        <f t="shared" si="84"/>
        <v>42815.14</v>
      </c>
      <c r="V53" s="285">
        <f t="shared" si="83"/>
        <v>42815.14</v>
      </c>
      <c r="W53" s="285"/>
      <c r="X53" s="285"/>
      <c r="Y53" s="290"/>
      <c r="Z53" s="291">
        <f>52/12*6</f>
        <v>26</v>
      </c>
      <c r="AA53" s="291"/>
      <c r="AB53" s="292"/>
      <c r="AC53" s="293"/>
      <c r="AD53" s="293"/>
      <c r="AE53" s="293"/>
      <c r="AF53" s="293">
        <f t="shared" si="85"/>
        <v>42.81514</v>
      </c>
      <c r="AG53" s="293">
        <f t="shared" si="86"/>
        <v>42.81514</v>
      </c>
      <c r="AH53" s="293">
        <f t="shared" si="87"/>
        <v>42.81514</v>
      </c>
      <c r="AI53" s="293">
        <f t="shared" si="88"/>
        <v>42.81514</v>
      </c>
      <c r="AJ53" s="293">
        <f t="shared" si="89"/>
        <v>42.81514</v>
      </c>
      <c r="AK53" s="293">
        <f>V53/1000+(AF53+AG53+AH53+AI53+AJ53+42.82)/6/29.3*26</f>
        <v>80.808815767918077</v>
      </c>
      <c r="AL53" s="293"/>
      <c r="AM53" s="293"/>
      <c r="AN53" s="293"/>
      <c r="AO53" s="293">
        <f t="shared" si="56"/>
        <v>0</v>
      </c>
      <c r="AP53" s="293">
        <f t="shared" si="57"/>
        <v>128.44542000000001</v>
      </c>
      <c r="AQ53" s="293">
        <f t="shared" si="58"/>
        <v>166.43909576791808</v>
      </c>
      <c r="AR53" s="293">
        <f t="shared" si="59"/>
        <v>0</v>
      </c>
      <c r="AS53" s="293">
        <f t="shared" si="60"/>
        <v>294.88451576791806</v>
      </c>
      <c r="AT53" s="293">
        <f t="shared" si="61"/>
        <v>0</v>
      </c>
      <c r="AU53" s="293">
        <f t="shared" si="62"/>
        <v>39.689634780000006</v>
      </c>
      <c r="AV53" s="293">
        <f t="shared" si="63"/>
        <v>51.429680592286687</v>
      </c>
      <c r="AW53" s="293">
        <f t="shared" si="64"/>
        <v>0</v>
      </c>
      <c r="AX53" s="293">
        <f t="shared" si="65"/>
        <v>91.119315372286692</v>
      </c>
      <c r="AY53" s="294"/>
      <c r="AZ53" s="294"/>
      <c r="BA53" s="295"/>
      <c r="BB53" s="294"/>
      <c r="BC53" s="293"/>
      <c r="BD53" s="293"/>
      <c r="BE53" s="296"/>
      <c r="BF53" s="293">
        <f t="shared" si="78"/>
        <v>0</v>
      </c>
      <c r="BG53" s="293">
        <f t="shared" si="66"/>
        <v>0</v>
      </c>
      <c r="BH53" s="293">
        <f t="shared" si="82"/>
        <v>0</v>
      </c>
      <c r="BI53" s="293">
        <f t="shared" si="67"/>
        <v>0</v>
      </c>
      <c r="BJ53" s="293">
        <f t="shared" si="68"/>
        <v>0</v>
      </c>
      <c r="BK53" s="293">
        <f t="shared" si="79"/>
        <v>0</v>
      </c>
      <c r="BL53" s="293">
        <f t="shared" si="69"/>
        <v>0</v>
      </c>
      <c r="BM53" s="293">
        <f t="shared" si="70"/>
        <v>0</v>
      </c>
      <c r="BN53" s="293">
        <f t="shared" si="71"/>
        <v>0</v>
      </c>
      <c r="BO53" s="293">
        <f t="shared" si="72"/>
        <v>0</v>
      </c>
      <c r="BP53" s="293">
        <f t="shared" si="73"/>
        <v>0</v>
      </c>
      <c r="BQ53" s="293">
        <f t="shared" si="74"/>
        <v>0</v>
      </c>
      <c r="BR53" s="293">
        <f t="shared" si="75"/>
        <v>0</v>
      </c>
      <c r="BS53" s="293">
        <f t="shared" si="76"/>
        <v>0</v>
      </c>
      <c r="BT53" s="293">
        <f t="shared" si="77"/>
        <v>0</v>
      </c>
    </row>
    <row r="54" spans="1:72" s="277" customFormat="1" ht="27" customHeight="1" x14ac:dyDescent="0.2">
      <c r="A54" s="278" t="s">
        <v>916</v>
      </c>
      <c r="B54" s="279" t="s">
        <v>917</v>
      </c>
      <c r="C54" s="280" t="s">
        <v>957</v>
      </c>
      <c r="D54" s="297" t="s">
        <v>926</v>
      </c>
      <c r="E54" s="282">
        <v>1</v>
      </c>
      <c r="F54" s="282" t="s">
        <v>923</v>
      </c>
      <c r="G54" s="283">
        <v>4</v>
      </c>
      <c r="H54" s="284">
        <v>1.36</v>
      </c>
      <c r="I54" s="285">
        <v>9100</v>
      </c>
      <c r="J54" s="285">
        <f t="shared" si="51"/>
        <v>12376</v>
      </c>
      <c r="K54" s="307"/>
      <c r="L54" s="287"/>
      <c r="M54" s="286"/>
      <c r="N54" s="287"/>
      <c r="O54" s="288">
        <v>40</v>
      </c>
      <c r="P54" s="285">
        <v>1346.8</v>
      </c>
      <c r="Q54" s="289">
        <v>20</v>
      </c>
      <c r="R54" s="285">
        <f t="shared" si="52"/>
        <v>2744.56</v>
      </c>
      <c r="S54" s="285">
        <f t="shared" si="53"/>
        <v>13173.89</v>
      </c>
      <c r="T54" s="285">
        <f t="shared" si="54"/>
        <v>13173.89</v>
      </c>
      <c r="U54" s="285">
        <f t="shared" si="84"/>
        <v>42815.14</v>
      </c>
      <c r="V54" s="285">
        <f t="shared" si="83"/>
        <v>42815.14</v>
      </c>
      <c r="W54" s="285"/>
      <c r="X54" s="285"/>
      <c r="Y54" s="290"/>
      <c r="Z54" s="291">
        <f>52/12*6</f>
        <v>26</v>
      </c>
      <c r="AA54" s="291"/>
      <c r="AB54" s="292"/>
      <c r="AC54" s="293"/>
      <c r="AD54" s="293"/>
      <c r="AE54" s="293"/>
      <c r="AF54" s="293">
        <f t="shared" si="85"/>
        <v>42.81514</v>
      </c>
      <c r="AG54" s="293">
        <f t="shared" si="86"/>
        <v>42.81514</v>
      </c>
      <c r="AH54" s="293">
        <f t="shared" si="87"/>
        <v>42.81514</v>
      </c>
      <c r="AI54" s="293">
        <f t="shared" si="88"/>
        <v>42.81514</v>
      </c>
      <c r="AJ54" s="293">
        <f t="shared" si="89"/>
        <v>42.81514</v>
      </c>
      <c r="AK54" s="293">
        <f>V54/1000+(AF54+AG54+AH54+AI54+AJ54+42.82)/6/29.3*26</f>
        <v>80.808815767918077</v>
      </c>
      <c r="AL54" s="293"/>
      <c r="AM54" s="293"/>
      <c r="AN54" s="293"/>
      <c r="AO54" s="293">
        <f t="shared" si="56"/>
        <v>0</v>
      </c>
      <c r="AP54" s="293">
        <f t="shared" si="57"/>
        <v>128.44542000000001</v>
      </c>
      <c r="AQ54" s="293">
        <f t="shared" si="58"/>
        <v>166.43909576791808</v>
      </c>
      <c r="AR54" s="293">
        <f t="shared" si="59"/>
        <v>0</v>
      </c>
      <c r="AS54" s="293">
        <f t="shared" si="60"/>
        <v>294.88451576791806</v>
      </c>
      <c r="AT54" s="293">
        <f t="shared" si="61"/>
        <v>0</v>
      </c>
      <c r="AU54" s="293">
        <f t="shared" si="62"/>
        <v>39.689634780000006</v>
      </c>
      <c r="AV54" s="293">
        <f t="shared" si="63"/>
        <v>51.429680592286687</v>
      </c>
      <c r="AW54" s="293">
        <f t="shared" si="64"/>
        <v>0</v>
      </c>
      <c r="AX54" s="293">
        <f t="shared" si="65"/>
        <v>91.119315372286692</v>
      </c>
      <c r="AY54" s="294"/>
      <c r="AZ54" s="294"/>
      <c r="BA54" s="295"/>
      <c r="BB54" s="294"/>
      <c r="BC54" s="293"/>
      <c r="BD54" s="293"/>
      <c r="BE54" s="296"/>
      <c r="BF54" s="293">
        <f t="shared" si="78"/>
        <v>0</v>
      </c>
      <c r="BG54" s="293">
        <f t="shared" si="66"/>
        <v>0</v>
      </c>
      <c r="BH54" s="293">
        <f t="shared" si="82"/>
        <v>0</v>
      </c>
      <c r="BI54" s="293">
        <f t="shared" si="67"/>
        <v>0</v>
      </c>
      <c r="BJ54" s="293">
        <f t="shared" si="68"/>
        <v>0</v>
      </c>
      <c r="BK54" s="293">
        <f t="shared" si="79"/>
        <v>0</v>
      </c>
      <c r="BL54" s="293">
        <f t="shared" si="69"/>
        <v>0</v>
      </c>
      <c r="BM54" s="293">
        <f t="shared" si="70"/>
        <v>0</v>
      </c>
      <c r="BN54" s="293">
        <f t="shared" si="71"/>
        <v>0</v>
      </c>
      <c r="BO54" s="293">
        <f t="shared" si="72"/>
        <v>0</v>
      </c>
      <c r="BP54" s="293">
        <f t="shared" si="73"/>
        <v>0</v>
      </c>
      <c r="BQ54" s="293">
        <f t="shared" si="74"/>
        <v>0</v>
      </c>
      <c r="BR54" s="293">
        <f t="shared" si="75"/>
        <v>0</v>
      </c>
      <c r="BS54" s="293">
        <f t="shared" si="76"/>
        <v>0</v>
      </c>
      <c r="BT54" s="293">
        <f t="shared" si="77"/>
        <v>0</v>
      </c>
    </row>
    <row r="55" spans="1:72" ht="17.25" customHeight="1" x14ac:dyDescent="0.2">
      <c r="A55" s="227" t="s">
        <v>916</v>
      </c>
      <c r="B55" s="228" t="s">
        <v>917</v>
      </c>
      <c r="C55" s="229" t="s">
        <v>958</v>
      </c>
      <c r="D55" s="312" t="s">
        <v>956</v>
      </c>
      <c r="E55" s="231">
        <v>1</v>
      </c>
      <c r="F55" s="231" t="s">
        <v>923</v>
      </c>
      <c r="G55" s="219">
        <v>4</v>
      </c>
      <c r="H55" s="275">
        <v>1.36</v>
      </c>
      <c r="I55" s="238">
        <v>9100</v>
      </c>
      <c r="J55" s="238">
        <f t="shared" si="51"/>
        <v>12376</v>
      </c>
      <c r="K55" s="219"/>
      <c r="L55" s="238"/>
      <c r="M55" s="232"/>
      <c r="N55" s="238"/>
      <c r="O55" s="232"/>
      <c r="P55" s="238"/>
      <c r="Q55" s="246">
        <v>30</v>
      </c>
      <c r="R55" s="238">
        <f t="shared" si="52"/>
        <v>3712.8</v>
      </c>
      <c r="S55" s="238">
        <f t="shared" si="53"/>
        <v>12871.04</v>
      </c>
      <c r="T55" s="238">
        <f t="shared" si="54"/>
        <v>12871.04</v>
      </c>
      <c r="U55" s="238">
        <f>ROUND((J55+L55+N55+P55+R55+S55+T55)*E55, 2)</f>
        <v>41830.879999999997</v>
      </c>
      <c r="V55" s="238">
        <f t="shared" si="83"/>
        <v>41830.879999999997</v>
      </c>
      <c r="W55" s="238"/>
      <c r="X55" s="238"/>
      <c r="Y55" s="301"/>
      <c r="Z55" s="256"/>
      <c r="AA55" s="256"/>
      <c r="AB55" s="234"/>
      <c r="AC55" s="240">
        <f>V55/1000</f>
        <v>41.830880000000001</v>
      </c>
      <c r="AD55" s="240">
        <f>V55/1000</f>
        <v>41.830880000000001</v>
      </c>
      <c r="AE55" s="240">
        <f>V55/1000</f>
        <v>41.830880000000001</v>
      </c>
      <c r="AF55" s="240">
        <f t="shared" si="85"/>
        <v>41.830880000000001</v>
      </c>
      <c r="AG55" s="240">
        <f t="shared" si="86"/>
        <v>41.830880000000001</v>
      </c>
      <c r="AH55" s="240">
        <f t="shared" si="87"/>
        <v>41.830880000000001</v>
      </c>
      <c r="AI55" s="240">
        <f t="shared" si="88"/>
        <v>41.830880000000001</v>
      </c>
      <c r="AJ55" s="240">
        <f t="shared" si="89"/>
        <v>41.830880000000001</v>
      </c>
      <c r="AK55" s="240">
        <f>V55/1000</f>
        <v>41.830880000000001</v>
      </c>
      <c r="AL55" s="240">
        <f>V55/1000</f>
        <v>41.830880000000001</v>
      </c>
      <c r="AM55" s="240">
        <f>V55/1000</f>
        <v>41.830880000000001</v>
      </c>
      <c r="AN55" s="240">
        <f>V55/1000</f>
        <v>41.830880000000001</v>
      </c>
      <c r="AO55" s="240">
        <f t="shared" si="56"/>
        <v>125.49263999999999</v>
      </c>
      <c r="AP55" s="240">
        <f t="shared" si="57"/>
        <v>125.49263999999999</v>
      </c>
      <c r="AQ55" s="240">
        <f t="shared" si="58"/>
        <v>125.49263999999999</v>
      </c>
      <c r="AR55" s="240">
        <f t="shared" si="59"/>
        <v>125.49263999999999</v>
      </c>
      <c r="AS55" s="240">
        <f t="shared" si="60"/>
        <v>501.97055999999998</v>
      </c>
      <c r="AT55" s="240">
        <f t="shared" si="61"/>
        <v>38.77722576</v>
      </c>
      <c r="AU55" s="240">
        <f t="shared" si="62"/>
        <v>38.77722576</v>
      </c>
      <c r="AV55" s="240">
        <f t="shared" si="63"/>
        <v>38.77722576</v>
      </c>
      <c r="AW55" s="240">
        <f t="shared" si="64"/>
        <v>38.77722576</v>
      </c>
      <c r="AX55" s="240">
        <f t="shared" si="65"/>
        <v>155.10890304</v>
      </c>
      <c r="AY55" s="224"/>
      <c r="AZ55" s="224"/>
      <c r="BA55" s="225"/>
      <c r="BB55" s="224"/>
      <c r="BC55" s="240"/>
      <c r="BD55" s="240"/>
      <c r="BE55" s="250"/>
      <c r="BF55" s="240">
        <f t="shared" si="78"/>
        <v>0</v>
      </c>
      <c r="BG55" s="240">
        <f t="shared" si="66"/>
        <v>0</v>
      </c>
      <c r="BH55" s="240">
        <f t="shared" si="82"/>
        <v>0</v>
      </c>
      <c r="BI55" s="240">
        <f t="shared" si="67"/>
        <v>0</v>
      </c>
      <c r="BJ55" s="240">
        <f t="shared" si="68"/>
        <v>0</v>
      </c>
      <c r="BK55" s="240">
        <f t="shared" si="79"/>
        <v>0</v>
      </c>
      <c r="BL55" s="240">
        <f t="shared" si="69"/>
        <v>0</v>
      </c>
      <c r="BM55" s="240">
        <f t="shared" si="70"/>
        <v>0</v>
      </c>
      <c r="BN55" s="240">
        <f t="shared" si="71"/>
        <v>0</v>
      </c>
      <c r="BO55" s="240">
        <f t="shared" si="72"/>
        <v>0</v>
      </c>
      <c r="BP55" s="240">
        <f t="shared" si="73"/>
        <v>0</v>
      </c>
      <c r="BQ55" s="240">
        <f t="shared" si="74"/>
        <v>0</v>
      </c>
      <c r="BR55" s="240">
        <f t="shared" si="75"/>
        <v>0</v>
      </c>
      <c r="BS55" s="240">
        <f t="shared" si="76"/>
        <v>0</v>
      </c>
      <c r="BT55" s="240">
        <f t="shared" si="77"/>
        <v>0</v>
      </c>
    </row>
    <row r="56" spans="1:72" ht="25.5" customHeight="1" x14ac:dyDescent="0.2">
      <c r="A56" s="227" t="s">
        <v>916</v>
      </c>
      <c r="B56" s="228" t="s">
        <v>917</v>
      </c>
      <c r="C56" s="229" t="s">
        <v>959</v>
      </c>
      <c r="D56" s="248" t="s">
        <v>960</v>
      </c>
      <c r="E56" s="231">
        <v>1</v>
      </c>
      <c r="F56" s="231" t="s">
        <v>923</v>
      </c>
      <c r="G56" s="219">
        <v>4</v>
      </c>
      <c r="H56" s="275">
        <v>1.36</v>
      </c>
      <c r="I56" s="238">
        <v>9100</v>
      </c>
      <c r="J56" s="238">
        <f t="shared" si="51"/>
        <v>12376</v>
      </c>
      <c r="K56" s="219"/>
      <c r="L56" s="238"/>
      <c r="M56" s="232"/>
      <c r="N56" s="238"/>
      <c r="O56" s="232"/>
      <c r="P56" s="238"/>
      <c r="Q56" s="246">
        <v>30</v>
      </c>
      <c r="R56" s="238">
        <f t="shared" si="52"/>
        <v>3712.8</v>
      </c>
      <c r="S56" s="238">
        <f t="shared" si="53"/>
        <v>12871.04</v>
      </c>
      <c r="T56" s="238">
        <f t="shared" si="54"/>
        <v>12871.04</v>
      </c>
      <c r="U56" s="238">
        <f>ROUND((J56+L56+N56+P56+R56+S56+T56)*E56, 2)</f>
        <v>41830.879999999997</v>
      </c>
      <c r="V56" s="238">
        <f t="shared" si="83"/>
        <v>41830.879999999997</v>
      </c>
      <c r="W56" s="238"/>
      <c r="X56" s="238"/>
      <c r="Y56" s="301"/>
      <c r="Z56" s="256"/>
      <c r="AA56" s="256"/>
      <c r="AB56" s="234">
        <f>V56/12/1000</f>
        <v>3.4859066666666663</v>
      </c>
      <c r="AC56" s="240">
        <f>V56/1000+AB56</f>
        <v>45.316786666666665</v>
      </c>
      <c r="AD56" s="240">
        <f>V56/1000+AB56</f>
        <v>45.316786666666665</v>
      </c>
      <c r="AE56" s="240">
        <f>V56/1000+AB56</f>
        <v>45.316786666666665</v>
      </c>
      <c r="AF56" s="240">
        <f>V56/1000+AB56</f>
        <v>45.316786666666665</v>
      </c>
      <c r="AG56" s="240">
        <f>V56/1000+AB56</f>
        <v>45.316786666666665</v>
      </c>
      <c r="AH56" s="240">
        <f>V56/1000+AB56</f>
        <v>45.316786666666665</v>
      </c>
      <c r="AI56" s="240">
        <f>V56/1000+AB56</f>
        <v>45.316786666666665</v>
      </c>
      <c r="AJ56" s="240">
        <f>V56/1000+AB56</f>
        <v>45.316786666666665</v>
      </c>
      <c r="AK56" s="240">
        <f>V56/1000+AB56</f>
        <v>45.316786666666665</v>
      </c>
      <c r="AL56" s="240">
        <f>V56/1000+AB56</f>
        <v>45.316786666666665</v>
      </c>
      <c r="AM56" s="240">
        <f>V56/1000+AB56</f>
        <v>45.316786666666665</v>
      </c>
      <c r="AN56" s="240">
        <f>V56/1000+AB56</f>
        <v>45.316786666666665</v>
      </c>
      <c r="AO56" s="240">
        <f t="shared" si="56"/>
        <v>135.95035999999999</v>
      </c>
      <c r="AP56" s="240">
        <f t="shared" si="57"/>
        <v>135.95035999999999</v>
      </c>
      <c r="AQ56" s="240">
        <f t="shared" si="58"/>
        <v>135.95035999999999</v>
      </c>
      <c r="AR56" s="240">
        <f t="shared" si="59"/>
        <v>135.95035999999999</v>
      </c>
      <c r="AS56" s="240">
        <f t="shared" si="60"/>
        <v>543.80143999999996</v>
      </c>
      <c r="AT56" s="240">
        <f t="shared" si="61"/>
        <v>42.008661239999995</v>
      </c>
      <c r="AU56" s="240">
        <f t="shared" si="62"/>
        <v>42.008661239999995</v>
      </c>
      <c r="AV56" s="240">
        <f t="shared" si="63"/>
        <v>42.008661239999995</v>
      </c>
      <c r="AW56" s="240">
        <f t="shared" si="64"/>
        <v>42.008661239999995</v>
      </c>
      <c r="AX56" s="240">
        <f t="shared" si="65"/>
        <v>168.03464495999998</v>
      </c>
      <c r="AY56" s="224">
        <f>5000/1000/4</f>
        <v>1.25</v>
      </c>
      <c r="AZ56" s="224">
        <f>3500/1000</f>
        <v>3.5</v>
      </c>
      <c r="BA56" s="225">
        <f>5000/1000</f>
        <v>5</v>
      </c>
      <c r="BB56" s="224">
        <f>3500/1000</f>
        <v>3.5</v>
      </c>
      <c r="BC56" s="240"/>
      <c r="BD56" s="240"/>
      <c r="BE56" s="250"/>
      <c r="BF56" s="240">
        <f t="shared" si="78"/>
        <v>4.75</v>
      </c>
      <c r="BG56" s="240">
        <f t="shared" si="66"/>
        <v>1.25</v>
      </c>
      <c r="BH56" s="240">
        <f t="shared" si="82"/>
        <v>6.25</v>
      </c>
      <c r="BI56" s="240">
        <f t="shared" si="67"/>
        <v>4.75</v>
      </c>
      <c r="BJ56" s="240">
        <f t="shared" si="68"/>
        <v>17</v>
      </c>
      <c r="BK56" s="240">
        <f t="shared" si="79"/>
        <v>1.4677499999999999</v>
      </c>
      <c r="BL56" s="240">
        <f t="shared" si="69"/>
        <v>0.38624999999999998</v>
      </c>
      <c r="BM56" s="240">
        <f t="shared" si="70"/>
        <v>1.9312499999999999</v>
      </c>
      <c r="BN56" s="240">
        <f t="shared" si="71"/>
        <v>1.4677499999999999</v>
      </c>
      <c r="BO56" s="240">
        <f t="shared" si="72"/>
        <v>5.2529999999999992</v>
      </c>
      <c r="BP56" s="240">
        <f t="shared" si="73"/>
        <v>6.2177499999999997</v>
      </c>
      <c r="BQ56" s="240">
        <f t="shared" si="74"/>
        <v>1.63625</v>
      </c>
      <c r="BR56" s="240">
        <f t="shared" si="75"/>
        <v>8.1812500000000004</v>
      </c>
      <c r="BS56" s="240">
        <f t="shared" si="76"/>
        <v>6.2177499999999997</v>
      </c>
      <c r="BT56" s="240">
        <f t="shared" si="77"/>
        <v>22.252999999999997</v>
      </c>
    </row>
    <row r="57" spans="1:72" s="277" customFormat="1" ht="23.25" customHeight="1" x14ac:dyDescent="0.2">
      <c r="A57" s="278" t="s">
        <v>916</v>
      </c>
      <c r="B57" s="279" t="s">
        <v>917</v>
      </c>
      <c r="C57" s="280" t="s">
        <v>961</v>
      </c>
      <c r="D57" s="297" t="s">
        <v>926</v>
      </c>
      <c r="E57" s="282">
        <v>1</v>
      </c>
      <c r="F57" s="282" t="s">
        <v>923</v>
      </c>
      <c r="G57" s="283">
        <v>4</v>
      </c>
      <c r="H57" s="284">
        <v>1.36</v>
      </c>
      <c r="I57" s="285">
        <v>9100</v>
      </c>
      <c r="J57" s="285">
        <f t="shared" si="51"/>
        <v>12376</v>
      </c>
      <c r="K57" s="283"/>
      <c r="L57" s="285"/>
      <c r="M57" s="288"/>
      <c r="N57" s="285"/>
      <c r="O57" s="288"/>
      <c r="P57" s="285"/>
      <c r="Q57" s="289">
        <v>30</v>
      </c>
      <c r="R57" s="285">
        <f t="shared" si="52"/>
        <v>3712.8</v>
      </c>
      <c r="S57" s="285">
        <f t="shared" si="53"/>
        <v>12871.04</v>
      </c>
      <c r="T57" s="285">
        <f t="shared" si="54"/>
        <v>12871.04</v>
      </c>
      <c r="U57" s="285">
        <f t="shared" ref="U57:U71" si="90">ROUND((J57+L57+N57+P57+R57+S57+T57)*E57/E57, 2)</f>
        <v>41830.879999999997</v>
      </c>
      <c r="V57" s="285">
        <f t="shared" si="83"/>
        <v>41830.879999999997</v>
      </c>
      <c r="W57" s="285"/>
      <c r="X57" s="285"/>
      <c r="Y57" s="313"/>
      <c r="Z57" s="291">
        <f t="shared" ref="Z57:Z70" si="91">52/12*6</f>
        <v>26</v>
      </c>
      <c r="AA57" s="291"/>
      <c r="AB57" s="292"/>
      <c r="AC57" s="293"/>
      <c r="AD57" s="293"/>
      <c r="AE57" s="293"/>
      <c r="AF57" s="293">
        <f t="shared" ref="AF57:AF70" si="92">V57/1000</f>
        <v>41.830880000000001</v>
      </c>
      <c r="AG57" s="293">
        <f t="shared" ref="AG57:AG70" si="93">V57/1000</f>
        <v>41.830880000000001</v>
      </c>
      <c r="AH57" s="293">
        <f t="shared" ref="AH57:AH70" si="94">V57/1000</f>
        <v>41.830880000000001</v>
      </c>
      <c r="AI57" s="293">
        <f t="shared" ref="AI57:AI70" si="95">V57/1000</f>
        <v>41.830880000000001</v>
      </c>
      <c r="AJ57" s="293">
        <f t="shared" ref="AJ57:AJ70" si="96">V57/1000</f>
        <v>41.830880000000001</v>
      </c>
      <c r="AK57" s="293">
        <f t="shared" ref="AK57:AK70" si="97">V57/1000+(AF57+AG57+AH57+AI57+AJ57+41.83)/6/29.3*26</f>
        <v>78.950302070534704</v>
      </c>
      <c r="AL57" s="293"/>
      <c r="AM57" s="293"/>
      <c r="AN57" s="293"/>
      <c r="AO57" s="293">
        <f t="shared" si="56"/>
        <v>0</v>
      </c>
      <c r="AP57" s="293">
        <f t="shared" si="57"/>
        <v>125.49263999999999</v>
      </c>
      <c r="AQ57" s="293">
        <f t="shared" si="58"/>
        <v>162.61206207053471</v>
      </c>
      <c r="AR57" s="293">
        <f t="shared" si="59"/>
        <v>0</v>
      </c>
      <c r="AS57" s="293">
        <f t="shared" si="60"/>
        <v>288.1047020705347</v>
      </c>
      <c r="AT57" s="293">
        <f t="shared" si="61"/>
        <v>0</v>
      </c>
      <c r="AU57" s="293">
        <f t="shared" si="62"/>
        <v>38.77722576</v>
      </c>
      <c r="AV57" s="293">
        <f t="shared" si="63"/>
        <v>50.247127179795221</v>
      </c>
      <c r="AW57" s="293">
        <f t="shared" si="64"/>
        <v>0</v>
      </c>
      <c r="AX57" s="293">
        <f t="shared" si="65"/>
        <v>89.024352939795222</v>
      </c>
      <c r="AY57" s="294"/>
      <c r="AZ57" s="294"/>
      <c r="BA57" s="295"/>
      <c r="BB57" s="294"/>
      <c r="BC57" s="293"/>
      <c r="BD57" s="293"/>
      <c r="BE57" s="296"/>
      <c r="BF57" s="293">
        <f t="shared" si="78"/>
        <v>0</v>
      </c>
      <c r="BG57" s="293">
        <f t="shared" si="66"/>
        <v>0</v>
      </c>
      <c r="BH57" s="293">
        <f t="shared" si="82"/>
        <v>0</v>
      </c>
      <c r="BI57" s="293">
        <f t="shared" si="67"/>
        <v>0</v>
      </c>
      <c r="BJ57" s="293">
        <f t="shared" si="68"/>
        <v>0</v>
      </c>
      <c r="BK57" s="293">
        <f t="shared" si="79"/>
        <v>0</v>
      </c>
      <c r="BL57" s="293">
        <f t="shared" si="69"/>
        <v>0</v>
      </c>
      <c r="BM57" s="293">
        <f t="shared" si="70"/>
        <v>0</v>
      </c>
      <c r="BN57" s="293">
        <f t="shared" si="71"/>
        <v>0</v>
      </c>
      <c r="BO57" s="293">
        <f t="shared" si="72"/>
        <v>0</v>
      </c>
      <c r="BP57" s="293">
        <f t="shared" si="73"/>
        <v>0</v>
      </c>
      <c r="BQ57" s="293">
        <f t="shared" si="74"/>
        <v>0</v>
      </c>
      <c r="BR57" s="293">
        <f t="shared" si="75"/>
        <v>0</v>
      </c>
      <c r="BS57" s="293">
        <f t="shared" si="76"/>
        <v>0</v>
      </c>
      <c r="BT57" s="293">
        <f t="shared" si="77"/>
        <v>0</v>
      </c>
    </row>
    <row r="58" spans="1:72" s="277" customFormat="1" ht="23.25" customHeight="1" x14ac:dyDescent="0.2">
      <c r="A58" s="278" t="s">
        <v>916</v>
      </c>
      <c r="B58" s="279" t="s">
        <v>917</v>
      </c>
      <c r="C58" s="280" t="s">
        <v>961</v>
      </c>
      <c r="D58" s="297" t="s">
        <v>926</v>
      </c>
      <c r="E58" s="282">
        <v>1</v>
      </c>
      <c r="F58" s="282" t="s">
        <v>923</v>
      </c>
      <c r="G58" s="283">
        <v>4</v>
      </c>
      <c r="H58" s="284">
        <v>1.36</v>
      </c>
      <c r="I58" s="285">
        <v>9100</v>
      </c>
      <c r="J58" s="285">
        <f t="shared" ref="J58:J84" si="98">ROUND(H58*I58, 2)</f>
        <v>12376</v>
      </c>
      <c r="K58" s="283"/>
      <c r="L58" s="285"/>
      <c r="M58" s="288"/>
      <c r="N58" s="285"/>
      <c r="O58" s="288"/>
      <c r="P58" s="285"/>
      <c r="Q58" s="289">
        <v>30</v>
      </c>
      <c r="R58" s="285">
        <f t="shared" ref="R58:R84" si="99">ROUND((J58+L58+N58+P58)*Q58%, 2)</f>
        <v>3712.8</v>
      </c>
      <c r="S58" s="285">
        <f t="shared" ref="S58:S84" si="100">ROUND((J58+L58+N58+P58+R58)*0.8, 2)</f>
        <v>12871.04</v>
      </c>
      <c r="T58" s="285">
        <f t="shared" ref="T58:T84" si="101">ROUND((J58+L58+N58+P58+R58)*0.8, 2)</f>
        <v>12871.04</v>
      </c>
      <c r="U58" s="285">
        <f t="shared" si="90"/>
        <v>41830.879999999997</v>
      </c>
      <c r="V58" s="285">
        <f t="shared" si="83"/>
        <v>41830.879999999997</v>
      </c>
      <c r="W58" s="285"/>
      <c r="X58" s="285"/>
      <c r="Y58" s="313"/>
      <c r="Z58" s="291">
        <f t="shared" si="91"/>
        <v>26</v>
      </c>
      <c r="AA58" s="291"/>
      <c r="AB58" s="292"/>
      <c r="AC58" s="293"/>
      <c r="AD58" s="293"/>
      <c r="AE58" s="293"/>
      <c r="AF58" s="293">
        <f t="shared" si="92"/>
        <v>41.830880000000001</v>
      </c>
      <c r="AG58" s="293">
        <f t="shared" si="93"/>
        <v>41.830880000000001</v>
      </c>
      <c r="AH58" s="293">
        <f t="shared" si="94"/>
        <v>41.830880000000001</v>
      </c>
      <c r="AI58" s="293">
        <f t="shared" si="95"/>
        <v>41.830880000000001</v>
      </c>
      <c r="AJ58" s="293">
        <f t="shared" si="96"/>
        <v>41.830880000000001</v>
      </c>
      <c r="AK58" s="293">
        <f t="shared" si="97"/>
        <v>78.950302070534704</v>
      </c>
      <c r="AL58" s="293"/>
      <c r="AM58" s="293"/>
      <c r="AN58" s="293"/>
      <c r="AO58" s="293">
        <f t="shared" ref="AO58:AO84" si="102">SUM(AC58:AE58)</f>
        <v>0</v>
      </c>
      <c r="AP58" s="293">
        <f t="shared" ref="AP58:AP84" si="103">SUM(AF58:AH58)</f>
        <v>125.49263999999999</v>
      </c>
      <c r="AQ58" s="293">
        <f t="shared" ref="AQ58:AQ84" si="104">SUM(AI58:AK58)</f>
        <v>162.61206207053471</v>
      </c>
      <c r="AR58" s="293">
        <f t="shared" ref="AR58:AR84" si="105">SUM(AL58:AN58)</f>
        <v>0</v>
      </c>
      <c r="AS58" s="293">
        <f t="shared" ref="AS58:AS84" si="106">SUM(AO58:AR58)</f>
        <v>288.1047020705347</v>
      </c>
      <c r="AT58" s="293">
        <f t="shared" ref="AT58:AT84" si="107">AO58*0.309</f>
        <v>0</v>
      </c>
      <c r="AU58" s="293">
        <f t="shared" ref="AU58:AU84" si="108">AP58*0.309</f>
        <v>38.77722576</v>
      </c>
      <c r="AV58" s="293">
        <f t="shared" ref="AV58:AV84" si="109">AQ58*0.309</f>
        <v>50.247127179795221</v>
      </c>
      <c r="AW58" s="293">
        <f t="shared" ref="AW58:AW84" si="110">AR58*0.309</f>
        <v>0</v>
      </c>
      <c r="AX58" s="293">
        <f t="shared" ref="AX58:AX84" si="111">SUM(AT58:AW58)</f>
        <v>89.024352939795222</v>
      </c>
      <c r="AY58" s="294"/>
      <c r="AZ58" s="294"/>
      <c r="BA58" s="295"/>
      <c r="BB58" s="294"/>
      <c r="BC58" s="293"/>
      <c r="BD58" s="293"/>
      <c r="BE58" s="296"/>
      <c r="BF58" s="293">
        <f t="shared" si="78"/>
        <v>0</v>
      </c>
      <c r="BG58" s="293">
        <f t="shared" ref="BG58:BG84" si="112">AY58</f>
        <v>0</v>
      </c>
      <c r="BH58" s="293">
        <f t="shared" si="82"/>
        <v>0</v>
      </c>
      <c r="BI58" s="293">
        <f t="shared" ref="BI58:BI84" si="113">AY58+BB58</f>
        <v>0</v>
      </c>
      <c r="BJ58" s="293">
        <f t="shared" ref="BJ58:BJ84" si="114">SUM(BF58:BI58)</f>
        <v>0</v>
      </c>
      <c r="BK58" s="293">
        <f t="shared" si="79"/>
        <v>0</v>
      </c>
      <c r="BL58" s="293">
        <f t="shared" ref="BL58:BL84" si="115">BG58*0.309</f>
        <v>0</v>
      </c>
      <c r="BM58" s="293">
        <f t="shared" ref="BM58:BM84" si="116">BH58*0.309</f>
        <v>0</v>
      </c>
      <c r="BN58" s="293">
        <f t="shared" ref="BN58:BN84" si="117">BI58*0.309</f>
        <v>0</v>
      </c>
      <c r="BO58" s="293">
        <f t="shared" ref="BO58:BO84" si="118">SUM(BK58:BN58)</f>
        <v>0</v>
      </c>
      <c r="BP58" s="293">
        <f t="shared" ref="BP58:BP84" si="119">BF58+BK58</f>
        <v>0</v>
      </c>
      <c r="BQ58" s="293">
        <f t="shared" ref="BQ58:BQ84" si="120">BG58+BL58</f>
        <v>0</v>
      </c>
      <c r="BR58" s="293">
        <f t="shared" ref="BR58:BR84" si="121">BH58+BM58</f>
        <v>0</v>
      </c>
      <c r="BS58" s="293">
        <f t="shared" ref="BS58:BS84" si="122">BI58+BN58</f>
        <v>0</v>
      </c>
      <c r="BT58" s="293">
        <f t="shared" ref="BT58:BT84" si="123">SUM(BP58:BS58)</f>
        <v>0</v>
      </c>
    </row>
    <row r="59" spans="1:72" s="277" customFormat="1" ht="23.25" customHeight="1" x14ac:dyDescent="0.2">
      <c r="A59" s="278" t="s">
        <v>916</v>
      </c>
      <c r="B59" s="279" t="s">
        <v>917</v>
      </c>
      <c r="C59" s="280" t="s">
        <v>962</v>
      </c>
      <c r="D59" s="297" t="s">
        <v>926</v>
      </c>
      <c r="E59" s="282">
        <v>1</v>
      </c>
      <c r="F59" s="282" t="s">
        <v>923</v>
      </c>
      <c r="G59" s="283">
        <v>4</v>
      </c>
      <c r="H59" s="284">
        <v>1.36</v>
      </c>
      <c r="I59" s="285">
        <v>9100</v>
      </c>
      <c r="J59" s="285">
        <f t="shared" si="98"/>
        <v>12376</v>
      </c>
      <c r="K59" s="284"/>
      <c r="L59" s="285"/>
      <c r="M59" s="288"/>
      <c r="N59" s="285"/>
      <c r="O59" s="288"/>
      <c r="P59" s="285"/>
      <c r="Q59" s="289">
        <v>30</v>
      </c>
      <c r="R59" s="285">
        <f t="shared" si="99"/>
        <v>3712.8</v>
      </c>
      <c r="S59" s="285">
        <f t="shared" si="100"/>
        <v>12871.04</v>
      </c>
      <c r="T59" s="285">
        <f t="shared" si="101"/>
        <v>12871.04</v>
      </c>
      <c r="U59" s="285">
        <f t="shared" si="90"/>
        <v>41830.879999999997</v>
      </c>
      <c r="V59" s="285">
        <f t="shared" si="83"/>
        <v>41830.879999999997</v>
      </c>
      <c r="W59" s="285"/>
      <c r="X59" s="285"/>
      <c r="Y59" s="313"/>
      <c r="Z59" s="291">
        <f t="shared" si="91"/>
        <v>26</v>
      </c>
      <c r="AA59" s="291"/>
      <c r="AB59" s="292"/>
      <c r="AC59" s="293"/>
      <c r="AD59" s="293"/>
      <c r="AE59" s="293"/>
      <c r="AF59" s="293">
        <f t="shared" si="92"/>
        <v>41.830880000000001</v>
      </c>
      <c r="AG59" s="293">
        <f t="shared" si="93"/>
        <v>41.830880000000001</v>
      </c>
      <c r="AH59" s="293">
        <f t="shared" si="94"/>
        <v>41.830880000000001</v>
      </c>
      <c r="AI59" s="293">
        <f t="shared" si="95"/>
        <v>41.830880000000001</v>
      </c>
      <c r="AJ59" s="293">
        <f t="shared" si="96"/>
        <v>41.830880000000001</v>
      </c>
      <c r="AK59" s="293">
        <f t="shared" si="97"/>
        <v>78.950302070534704</v>
      </c>
      <c r="AL59" s="293"/>
      <c r="AM59" s="293"/>
      <c r="AN59" s="293"/>
      <c r="AO59" s="293">
        <f t="shared" si="102"/>
        <v>0</v>
      </c>
      <c r="AP59" s="293">
        <f t="shared" si="103"/>
        <v>125.49263999999999</v>
      </c>
      <c r="AQ59" s="293">
        <f t="shared" si="104"/>
        <v>162.61206207053471</v>
      </c>
      <c r="AR59" s="293">
        <f t="shared" si="105"/>
        <v>0</v>
      </c>
      <c r="AS59" s="293">
        <f t="shared" si="106"/>
        <v>288.1047020705347</v>
      </c>
      <c r="AT59" s="293">
        <f t="shared" si="107"/>
        <v>0</v>
      </c>
      <c r="AU59" s="293">
        <f t="shared" si="108"/>
        <v>38.77722576</v>
      </c>
      <c r="AV59" s="293">
        <f t="shared" si="109"/>
        <v>50.247127179795221</v>
      </c>
      <c r="AW59" s="293">
        <f t="shared" si="110"/>
        <v>0</v>
      </c>
      <c r="AX59" s="293">
        <f t="shared" si="111"/>
        <v>89.024352939795222</v>
      </c>
      <c r="AY59" s="294"/>
      <c r="AZ59" s="294"/>
      <c r="BA59" s="295"/>
      <c r="BB59" s="294"/>
      <c r="BC59" s="293"/>
      <c r="BD59" s="293"/>
      <c r="BE59" s="296"/>
      <c r="BF59" s="293">
        <f t="shared" ref="BF59:BF84" si="124">AY59+AZ59</f>
        <v>0</v>
      </c>
      <c r="BG59" s="293">
        <f t="shared" si="112"/>
        <v>0</v>
      </c>
      <c r="BH59" s="293">
        <f t="shared" si="82"/>
        <v>0</v>
      </c>
      <c r="BI59" s="293">
        <f t="shared" si="113"/>
        <v>0</v>
      </c>
      <c r="BJ59" s="293">
        <f t="shared" si="114"/>
        <v>0</v>
      </c>
      <c r="BK59" s="293">
        <f t="shared" ref="BK59:BK84" si="125">BF59*0.309</f>
        <v>0</v>
      </c>
      <c r="BL59" s="293">
        <f t="shared" si="115"/>
        <v>0</v>
      </c>
      <c r="BM59" s="293">
        <f t="shared" si="116"/>
        <v>0</v>
      </c>
      <c r="BN59" s="293">
        <f t="shared" si="117"/>
        <v>0</v>
      </c>
      <c r="BO59" s="293">
        <f t="shared" si="118"/>
        <v>0</v>
      </c>
      <c r="BP59" s="293">
        <f t="shared" si="119"/>
        <v>0</v>
      </c>
      <c r="BQ59" s="293">
        <f t="shared" si="120"/>
        <v>0</v>
      </c>
      <c r="BR59" s="293">
        <f t="shared" si="121"/>
        <v>0</v>
      </c>
      <c r="BS59" s="293">
        <f t="shared" si="122"/>
        <v>0</v>
      </c>
      <c r="BT59" s="293">
        <f t="shared" si="123"/>
        <v>0</v>
      </c>
    </row>
    <row r="60" spans="1:72" s="277" customFormat="1" ht="23.25" customHeight="1" x14ac:dyDescent="0.2">
      <c r="A60" s="278" t="s">
        <v>916</v>
      </c>
      <c r="B60" s="279" t="s">
        <v>917</v>
      </c>
      <c r="C60" s="280" t="s">
        <v>962</v>
      </c>
      <c r="D60" s="297" t="s">
        <v>926</v>
      </c>
      <c r="E60" s="282">
        <v>1</v>
      </c>
      <c r="F60" s="282" t="s">
        <v>923</v>
      </c>
      <c r="G60" s="283">
        <v>4</v>
      </c>
      <c r="H60" s="284">
        <v>1.36</v>
      </c>
      <c r="I60" s="285">
        <v>9100</v>
      </c>
      <c r="J60" s="285">
        <f t="shared" si="98"/>
        <v>12376</v>
      </c>
      <c r="K60" s="284"/>
      <c r="L60" s="285"/>
      <c r="M60" s="288"/>
      <c r="N60" s="285"/>
      <c r="O60" s="288"/>
      <c r="P60" s="285"/>
      <c r="Q60" s="289">
        <v>30</v>
      </c>
      <c r="R60" s="285">
        <f t="shared" si="99"/>
        <v>3712.8</v>
      </c>
      <c r="S60" s="285">
        <f t="shared" si="100"/>
        <v>12871.04</v>
      </c>
      <c r="T60" s="285">
        <f t="shared" si="101"/>
        <v>12871.04</v>
      </c>
      <c r="U60" s="285">
        <f t="shared" si="90"/>
        <v>41830.879999999997</v>
      </c>
      <c r="V60" s="285">
        <f t="shared" si="83"/>
        <v>41830.879999999997</v>
      </c>
      <c r="W60" s="285"/>
      <c r="X60" s="285"/>
      <c r="Y60" s="313"/>
      <c r="Z60" s="291">
        <f t="shared" si="91"/>
        <v>26</v>
      </c>
      <c r="AA60" s="291"/>
      <c r="AB60" s="292"/>
      <c r="AC60" s="293"/>
      <c r="AD60" s="293"/>
      <c r="AE60" s="293"/>
      <c r="AF60" s="293">
        <f t="shared" si="92"/>
        <v>41.830880000000001</v>
      </c>
      <c r="AG60" s="293">
        <f t="shared" si="93"/>
        <v>41.830880000000001</v>
      </c>
      <c r="AH60" s="293">
        <f t="shared" si="94"/>
        <v>41.830880000000001</v>
      </c>
      <c r="AI60" s="293">
        <f t="shared" si="95"/>
        <v>41.830880000000001</v>
      </c>
      <c r="AJ60" s="293">
        <f t="shared" si="96"/>
        <v>41.830880000000001</v>
      </c>
      <c r="AK60" s="293">
        <f t="shared" si="97"/>
        <v>78.950302070534704</v>
      </c>
      <c r="AL60" s="293"/>
      <c r="AM60" s="293"/>
      <c r="AN60" s="293"/>
      <c r="AO60" s="293">
        <f t="shared" si="102"/>
        <v>0</v>
      </c>
      <c r="AP60" s="293">
        <f t="shared" si="103"/>
        <v>125.49263999999999</v>
      </c>
      <c r="AQ60" s="293">
        <f t="shared" si="104"/>
        <v>162.61206207053471</v>
      </c>
      <c r="AR60" s="293">
        <f t="shared" si="105"/>
        <v>0</v>
      </c>
      <c r="AS60" s="293">
        <f t="shared" si="106"/>
        <v>288.1047020705347</v>
      </c>
      <c r="AT60" s="293">
        <f t="shared" si="107"/>
        <v>0</v>
      </c>
      <c r="AU60" s="293">
        <f t="shared" si="108"/>
        <v>38.77722576</v>
      </c>
      <c r="AV60" s="293">
        <f t="shared" si="109"/>
        <v>50.247127179795221</v>
      </c>
      <c r="AW60" s="293">
        <f t="shared" si="110"/>
        <v>0</v>
      </c>
      <c r="AX60" s="293">
        <f t="shared" si="111"/>
        <v>89.024352939795222</v>
      </c>
      <c r="AY60" s="294"/>
      <c r="AZ60" s="294"/>
      <c r="BA60" s="295"/>
      <c r="BB60" s="294"/>
      <c r="BC60" s="293"/>
      <c r="BD60" s="293"/>
      <c r="BE60" s="296"/>
      <c r="BF60" s="293">
        <f t="shared" si="124"/>
        <v>0</v>
      </c>
      <c r="BG60" s="293">
        <f t="shared" si="112"/>
        <v>0</v>
      </c>
      <c r="BH60" s="293">
        <f t="shared" si="82"/>
        <v>0</v>
      </c>
      <c r="BI60" s="293">
        <f t="shared" si="113"/>
        <v>0</v>
      </c>
      <c r="BJ60" s="293">
        <f t="shared" si="114"/>
        <v>0</v>
      </c>
      <c r="BK60" s="293">
        <f t="shared" si="125"/>
        <v>0</v>
      </c>
      <c r="BL60" s="293">
        <f t="shared" si="115"/>
        <v>0</v>
      </c>
      <c r="BM60" s="293">
        <f t="shared" si="116"/>
        <v>0</v>
      </c>
      <c r="BN60" s="293">
        <f t="shared" si="117"/>
        <v>0</v>
      </c>
      <c r="BO60" s="293">
        <f t="shared" si="118"/>
        <v>0</v>
      </c>
      <c r="BP60" s="293">
        <f t="shared" si="119"/>
        <v>0</v>
      </c>
      <c r="BQ60" s="293">
        <f t="shared" si="120"/>
        <v>0</v>
      </c>
      <c r="BR60" s="293">
        <f t="shared" si="121"/>
        <v>0</v>
      </c>
      <c r="BS60" s="293">
        <f t="shared" si="122"/>
        <v>0</v>
      </c>
      <c r="BT60" s="293">
        <f t="shared" si="123"/>
        <v>0</v>
      </c>
    </row>
    <row r="61" spans="1:72" s="277" customFormat="1" ht="23.25" customHeight="1" x14ac:dyDescent="0.2">
      <c r="A61" s="278" t="s">
        <v>916</v>
      </c>
      <c r="B61" s="279" t="s">
        <v>917</v>
      </c>
      <c r="C61" s="280" t="s">
        <v>962</v>
      </c>
      <c r="D61" s="297" t="s">
        <v>926</v>
      </c>
      <c r="E61" s="282">
        <v>1</v>
      </c>
      <c r="F61" s="282" t="s">
        <v>923</v>
      </c>
      <c r="G61" s="283">
        <v>4</v>
      </c>
      <c r="H61" s="284">
        <v>1.36</v>
      </c>
      <c r="I61" s="285">
        <v>9100</v>
      </c>
      <c r="J61" s="285">
        <f t="shared" si="98"/>
        <v>12376</v>
      </c>
      <c r="K61" s="284"/>
      <c r="L61" s="285"/>
      <c r="M61" s="288"/>
      <c r="N61" s="285"/>
      <c r="O61" s="288"/>
      <c r="P61" s="285"/>
      <c r="Q61" s="289">
        <v>30</v>
      </c>
      <c r="R61" s="285">
        <f t="shared" si="99"/>
        <v>3712.8</v>
      </c>
      <c r="S61" s="285">
        <f t="shared" si="100"/>
        <v>12871.04</v>
      </c>
      <c r="T61" s="285">
        <f t="shared" si="101"/>
        <v>12871.04</v>
      </c>
      <c r="U61" s="285">
        <f t="shared" si="90"/>
        <v>41830.879999999997</v>
      </c>
      <c r="V61" s="285">
        <f t="shared" si="83"/>
        <v>41830.879999999997</v>
      </c>
      <c r="W61" s="285"/>
      <c r="X61" s="285"/>
      <c r="Y61" s="313"/>
      <c r="Z61" s="291">
        <f t="shared" si="91"/>
        <v>26</v>
      </c>
      <c r="AA61" s="291"/>
      <c r="AB61" s="292"/>
      <c r="AC61" s="293"/>
      <c r="AD61" s="293"/>
      <c r="AE61" s="293"/>
      <c r="AF61" s="293">
        <f t="shared" si="92"/>
        <v>41.830880000000001</v>
      </c>
      <c r="AG61" s="293">
        <f t="shared" si="93"/>
        <v>41.830880000000001</v>
      </c>
      <c r="AH61" s="293">
        <f t="shared" si="94"/>
        <v>41.830880000000001</v>
      </c>
      <c r="AI61" s="293">
        <f t="shared" si="95"/>
        <v>41.830880000000001</v>
      </c>
      <c r="AJ61" s="293">
        <f t="shared" si="96"/>
        <v>41.830880000000001</v>
      </c>
      <c r="AK61" s="293">
        <f t="shared" si="97"/>
        <v>78.950302070534704</v>
      </c>
      <c r="AL61" s="293"/>
      <c r="AM61" s="293"/>
      <c r="AN61" s="293"/>
      <c r="AO61" s="293">
        <f t="shared" si="102"/>
        <v>0</v>
      </c>
      <c r="AP61" s="293">
        <f t="shared" si="103"/>
        <v>125.49263999999999</v>
      </c>
      <c r="AQ61" s="293">
        <f t="shared" si="104"/>
        <v>162.61206207053471</v>
      </c>
      <c r="AR61" s="293">
        <f t="shared" si="105"/>
        <v>0</v>
      </c>
      <c r="AS61" s="293">
        <f t="shared" si="106"/>
        <v>288.1047020705347</v>
      </c>
      <c r="AT61" s="293">
        <f t="shared" si="107"/>
        <v>0</v>
      </c>
      <c r="AU61" s="293">
        <f t="shared" si="108"/>
        <v>38.77722576</v>
      </c>
      <c r="AV61" s="293">
        <f t="shared" si="109"/>
        <v>50.247127179795221</v>
      </c>
      <c r="AW61" s="293">
        <f t="shared" si="110"/>
        <v>0</v>
      </c>
      <c r="AX61" s="293">
        <f t="shared" si="111"/>
        <v>89.024352939795222</v>
      </c>
      <c r="AY61" s="294"/>
      <c r="AZ61" s="294"/>
      <c r="BA61" s="295"/>
      <c r="BB61" s="294"/>
      <c r="BC61" s="293"/>
      <c r="BD61" s="293"/>
      <c r="BE61" s="296"/>
      <c r="BF61" s="293">
        <f t="shared" si="124"/>
        <v>0</v>
      </c>
      <c r="BG61" s="293">
        <f t="shared" si="112"/>
        <v>0</v>
      </c>
      <c r="BH61" s="293">
        <f t="shared" si="82"/>
        <v>0</v>
      </c>
      <c r="BI61" s="293">
        <f t="shared" si="113"/>
        <v>0</v>
      </c>
      <c r="BJ61" s="293">
        <f t="shared" si="114"/>
        <v>0</v>
      </c>
      <c r="BK61" s="293">
        <f t="shared" si="125"/>
        <v>0</v>
      </c>
      <c r="BL61" s="293">
        <f t="shared" si="115"/>
        <v>0</v>
      </c>
      <c r="BM61" s="293">
        <f t="shared" si="116"/>
        <v>0</v>
      </c>
      <c r="BN61" s="293">
        <f t="shared" si="117"/>
        <v>0</v>
      </c>
      <c r="BO61" s="293">
        <f t="shared" si="118"/>
        <v>0</v>
      </c>
      <c r="BP61" s="293">
        <f t="shared" si="119"/>
        <v>0</v>
      </c>
      <c r="BQ61" s="293">
        <f t="shared" si="120"/>
        <v>0</v>
      </c>
      <c r="BR61" s="293">
        <f t="shared" si="121"/>
        <v>0</v>
      </c>
      <c r="BS61" s="293">
        <f t="shared" si="122"/>
        <v>0</v>
      </c>
      <c r="BT61" s="293">
        <f t="shared" si="123"/>
        <v>0</v>
      </c>
    </row>
    <row r="62" spans="1:72" s="277" customFormat="1" ht="23.25" customHeight="1" x14ac:dyDescent="0.2">
      <c r="A62" s="278" t="s">
        <v>916</v>
      </c>
      <c r="B62" s="279" t="s">
        <v>917</v>
      </c>
      <c r="C62" s="280" t="s">
        <v>962</v>
      </c>
      <c r="D62" s="297" t="s">
        <v>926</v>
      </c>
      <c r="E62" s="282">
        <v>1</v>
      </c>
      <c r="F62" s="282" t="s">
        <v>923</v>
      </c>
      <c r="G62" s="283">
        <v>4</v>
      </c>
      <c r="H62" s="284">
        <v>1.36</v>
      </c>
      <c r="I62" s="285">
        <v>9100</v>
      </c>
      <c r="J62" s="285">
        <f t="shared" si="98"/>
        <v>12376</v>
      </c>
      <c r="K62" s="284"/>
      <c r="L62" s="285"/>
      <c r="M62" s="288"/>
      <c r="N62" s="285"/>
      <c r="O62" s="288"/>
      <c r="P62" s="285"/>
      <c r="Q62" s="289">
        <v>30</v>
      </c>
      <c r="R62" s="285">
        <f t="shared" si="99"/>
        <v>3712.8</v>
      </c>
      <c r="S62" s="285">
        <f t="shared" si="100"/>
        <v>12871.04</v>
      </c>
      <c r="T62" s="285">
        <f t="shared" si="101"/>
        <v>12871.04</v>
      </c>
      <c r="U62" s="285">
        <f t="shared" si="90"/>
        <v>41830.879999999997</v>
      </c>
      <c r="V62" s="285">
        <f t="shared" si="83"/>
        <v>41830.879999999997</v>
      </c>
      <c r="W62" s="285"/>
      <c r="X62" s="285"/>
      <c r="Y62" s="313"/>
      <c r="Z62" s="291">
        <f t="shared" si="91"/>
        <v>26</v>
      </c>
      <c r="AA62" s="291"/>
      <c r="AB62" s="292"/>
      <c r="AC62" s="293"/>
      <c r="AD62" s="293"/>
      <c r="AE62" s="293"/>
      <c r="AF62" s="293">
        <f t="shared" si="92"/>
        <v>41.830880000000001</v>
      </c>
      <c r="AG62" s="293">
        <f t="shared" si="93"/>
        <v>41.830880000000001</v>
      </c>
      <c r="AH62" s="293">
        <f t="shared" si="94"/>
        <v>41.830880000000001</v>
      </c>
      <c r="AI62" s="293">
        <f t="shared" si="95"/>
        <v>41.830880000000001</v>
      </c>
      <c r="AJ62" s="293">
        <f t="shared" si="96"/>
        <v>41.830880000000001</v>
      </c>
      <c r="AK62" s="293">
        <f t="shared" si="97"/>
        <v>78.950302070534704</v>
      </c>
      <c r="AL62" s="293"/>
      <c r="AM62" s="293"/>
      <c r="AN62" s="293"/>
      <c r="AO62" s="293">
        <f t="shared" si="102"/>
        <v>0</v>
      </c>
      <c r="AP62" s="293">
        <f t="shared" si="103"/>
        <v>125.49263999999999</v>
      </c>
      <c r="AQ62" s="293">
        <f t="shared" si="104"/>
        <v>162.61206207053471</v>
      </c>
      <c r="AR62" s="293">
        <f t="shared" si="105"/>
        <v>0</v>
      </c>
      <c r="AS62" s="293">
        <f t="shared" si="106"/>
        <v>288.1047020705347</v>
      </c>
      <c r="AT62" s="293">
        <f t="shared" si="107"/>
        <v>0</v>
      </c>
      <c r="AU62" s="293">
        <f t="shared" si="108"/>
        <v>38.77722576</v>
      </c>
      <c r="AV62" s="293">
        <f t="shared" si="109"/>
        <v>50.247127179795221</v>
      </c>
      <c r="AW62" s="293">
        <f t="shared" si="110"/>
        <v>0</v>
      </c>
      <c r="AX62" s="293">
        <f t="shared" si="111"/>
        <v>89.024352939795222</v>
      </c>
      <c r="AY62" s="294"/>
      <c r="AZ62" s="294"/>
      <c r="BA62" s="295"/>
      <c r="BB62" s="294"/>
      <c r="BC62" s="293"/>
      <c r="BD62" s="293"/>
      <c r="BE62" s="296"/>
      <c r="BF62" s="293">
        <f t="shared" si="124"/>
        <v>0</v>
      </c>
      <c r="BG62" s="293">
        <f t="shared" si="112"/>
        <v>0</v>
      </c>
      <c r="BH62" s="293">
        <f t="shared" si="82"/>
        <v>0</v>
      </c>
      <c r="BI62" s="293">
        <f t="shared" si="113"/>
        <v>0</v>
      </c>
      <c r="BJ62" s="293">
        <f t="shared" si="114"/>
        <v>0</v>
      </c>
      <c r="BK62" s="293">
        <f t="shared" si="125"/>
        <v>0</v>
      </c>
      <c r="BL62" s="293">
        <f t="shared" si="115"/>
        <v>0</v>
      </c>
      <c r="BM62" s="293">
        <f t="shared" si="116"/>
        <v>0</v>
      </c>
      <c r="BN62" s="293">
        <f t="shared" si="117"/>
        <v>0</v>
      </c>
      <c r="BO62" s="293">
        <f t="shared" si="118"/>
        <v>0</v>
      </c>
      <c r="BP62" s="293">
        <f t="shared" si="119"/>
        <v>0</v>
      </c>
      <c r="BQ62" s="293">
        <f t="shared" si="120"/>
        <v>0</v>
      </c>
      <c r="BR62" s="293">
        <f t="shared" si="121"/>
        <v>0</v>
      </c>
      <c r="BS62" s="293">
        <f t="shared" si="122"/>
        <v>0</v>
      </c>
      <c r="BT62" s="293">
        <f t="shared" si="123"/>
        <v>0</v>
      </c>
    </row>
    <row r="63" spans="1:72" s="277" customFormat="1" ht="23.25" customHeight="1" x14ac:dyDescent="0.2">
      <c r="A63" s="278" t="s">
        <v>916</v>
      </c>
      <c r="B63" s="279" t="s">
        <v>917</v>
      </c>
      <c r="C63" s="280" t="s">
        <v>962</v>
      </c>
      <c r="D63" s="297" t="s">
        <v>926</v>
      </c>
      <c r="E63" s="282">
        <v>1</v>
      </c>
      <c r="F63" s="282" t="s">
        <v>923</v>
      </c>
      <c r="G63" s="283">
        <v>4</v>
      </c>
      <c r="H63" s="284">
        <v>1.36</v>
      </c>
      <c r="I63" s="285">
        <v>9100</v>
      </c>
      <c r="J63" s="285">
        <f t="shared" si="98"/>
        <v>12376</v>
      </c>
      <c r="K63" s="284"/>
      <c r="L63" s="285"/>
      <c r="M63" s="288"/>
      <c r="N63" s="285"/>
      <c r="O63" s="288"/>
      <c r="P63" s="285"/>
      <c r="Q63" s="289">
        <v>30</v>
      </c>
      <c r="R63" s="285">
        <f t="shared" si="99"/>
        <v>3712.8</v>
      </c>
      <c r="S63" s="285">
        <f t="shared" si="100"/>
        <v>12871.04</v>
      </c>
      <c r="T63" s="285">
        <f t="shared" si="101"/>
        <v>12871.04</v>
      </c>
      <c r="U63" s="285">
        <f t="shared" si="90"/>
        <v>41830.879999999997</v>
      </c>
      <c r="V63" s="285">
        <f t="shared" si="83"/>
        <v>41830.879999999997</v>
      </c>
      <c r="W63" s="285"/>
      <c r="X63" s="285"/>
      <c r="Y63" s="313"/>
      <c r="Z63" s="291">
        <f t="shared" si="91"/>
        <v>26</v>
      </c>
      <c r="AA63" s="291"/>
      <c r="AB63" s="292"/>
      <c r="AC63" s="293"/>
      <c r="AD63" s="293"/>
      <c r="AE63" s="293"/>
      <c r="AF63" s="293">
        <f t="shared" si="92"/>
        <v>41.830880000000001</v>
      </c>
      <c r="AG63" s="293">
        <f t="shared" si="93"/>
        <v>41.830880000000001</v>
      </c>
      <c r="AH63" s="293">
        <f t="shared" si="94"/>
        <v>41.830880000000001</v>
      </c>
      <c r="AI63" s="293">
        <f t="shared" si="95"/>
        <v>41.830880000000001</v>
      </c>
      <c r="AJ63" s="293">
        <f t="shared" si="96"/>
        <v>41.830880000000001</v>
      </c>
      <c r="AK63" s="293">
        <f t="shared" si="97"/>
        <v>78.950302070534704</v>
      </c>
      <c r="AL63" s="293"/>
      <c r="AM63" s="293"/>
      <c r="AN63" s="293"/>
      <c r="AO63" s="293">
        <f t="shared" si="102"/>
        <v>0</v>
      </c>
      <c r="AP63" s="293">
        <f t="shared" si="103"/>
        <v>125.49263999999999</v>
      </c>
      <c r="AQ63" s="293">
        <f t="shared" si="104"/>
        <v>162.61206207053471</v>
      </c>
      <c r="AR63" s="293">
        <f t="shared" si="105"/>
        <v>0</v>
      </c>
      <c r="AS63" s="293">
        <f t="shared" si="106"/>
        <v>288.1047020705347</v>
      </c>
      <c r="AT63" s="293">
        <f t="shared" si="107"/>
        <v>0</v>
      </c>
      <c r="AU63" s="293">
        <f t="shared" si="108"/>
        <v>38.77722576</v>
      </c>
      <c r="AV63" s="293">
        <f t="shared" si="109"/>
        <v>50.247127179795221</v>
      </c>
      <c r="AW63" s="293">
        <f t="shared" si="110"/>
        <v>0</v>
      </c>
      <c r="AX63" s="293">
        <f t="shared" si="111"/>
        <v>89.024352939795222</v>
      </c>
      <c r="AY63" s="294"/>
      <c r="AZ63" s="294"/>
      <c r="BA63" s="295"/>
      <c r="BB63" s="294"/>
      <c r="BC63" s="293"/>
      <c r="BD63" s="293"/>
      <c r="BE63" s="296"/>
      <c r="BF63" s="293">
        <f t="shared" si="124"/>
        <v>0</v>
      </c>
      <c r="BG63" s="293">
        <f t="shared" si="112"/>
        <v>0</v>
      </c>
      <c r="BH63" s="293">
        <f t="shared" si="82"/>
        <v>0</v>
      </c>
      <c r="BI63" s="293">
        <f t="shared" si="113"/>
        <v>0</v>
      </c>
      <c r="BJ63" s="293">
        <f t="shared" si="114"/>
        <v>0</v>
      </c>
      <c r="BK63" s="293">
        <f t="shared" si="125"/>
        <v>0</v>
      </c>
      <c r="BL63" s="293">
        <f t="shared" si="115"/>
        <v>0</v>
      </c>
      <c r="BM63" s="293">
        <f t="shared" si="116"/>
        <v>0</v>
      </c>
      <c r="BN63" s="293">
        <f t="shared" si="117"/>
        <v>0</v>
      </c>
      <c r="BO63" s="293">
        <f t="shared" si="118"/>
        <v>0</v>
      </c>
      <c r="BP63" s="293">
        <f t="shared" si="119"/>
        <v>0</v>
      </c>
      <c r="BQ63" s="293">
        <f t="shared" si="120"/>
        <v>0</v>
      </c>
      <c r="BR63" s="293">
        <f t="shared" si="121"/>
        <v>0</v>
      </c>
      <c r="BS63" s="293">
        <f t="shared" si="122"/>
        <v>0</v>
      </c>
      <c r="BT63" s="293">
        <f t="shared" si="123"/>
        <v>0</v>
      </c>
    </row>
    <row r="64" spans="1:72" s="277" customFormat="1" ht="23.25" customHeight="1" x14ac:dyDescent="0.2">
      <c r="A64" s="278" t="s">
        <v>916</v>
      </c>
      <c r="B64" s="279" t="s">
        <v>917</v>
      </c>
      <c r="C64" s="280" t="s">
        <v>962</v>
      </c>
      <c r="D64" s="297" t="s">
        <v>926</v>
      </c>
      <c r="E64" s="282">
        <v>1</v>
      </c>
      <c r="F64" s="282" t="s">
        <v>923</v>
      </c>
      <c r="G64" s="283">
        <v>4</v>
      </c>
      <c r="H64" s="284">
        <v>1.36</v>
      </c>
      <c r="I64" s="285">
        <v>9100</v>
      </c>
      <c r="J64" s="285">
        <f t="shared" si="98"/>
        <v>12376</v>
      </c>
      <c r="K64" s="284"/>
      <c r="L64" s="285"/>
      <c r="M64" s="288"/>
      <c r="N64" s="285"/>
      <c r="O64" s="288"/>
      <c r="P64" s="285"/>
      <c r="Q64" s="289">
        <v>30</v>
      </c>
      <c r="R64" s="285">
        <f t="shared" si="99"/>
        <v>3712.8</v>
      </c>
      <c r="S64" s="285">
        <f t="shared" si="100"/>
        <v>12871.04</v>
      </c>
      <c r="T64" s="285">
        <f t="shared" si="101"/>
        <v>12871.04</v>
      </c>
      <c r="U64" s="285">
        <f t="shared" si="90"/>
        <v>41830.879999999997</v>
      </c>
      <c r="V64" s="285">
        <f t="shared" si="83"/>
        <v>41830.879999999997</v>
      </c>
      <c r="W64" s="285"/>
      <c r="X64" s="285"/>
      <c r="Y64" s="313"/>
      <c r="Z64" s="291">
        <f t="shared" si="91"/>
        <v>26</v>
      </c>
      <c r="AA64" s="291"/>
      <c r="AB64" s="292"/>
      <c r="AC64" s="293"/>
      <c r="AD64" s="293"/>
      <c r="AE64" s="293"/>
      <c r="AF64" s="293">
        <f t="shared" si="92"/>
        <v>41.830880000000001</v>
      </c>
      <c r="AG64" s="293">
        <f t="shared" si="93"/>
        <v>41.830880000000001</v>
      </c>
      <c r="AH64" s="293">
        <f t="shared" si="94"/>
        <v>41.830880000000001</v>
      </c>
      <c r="AI64" s="293">
        <f t="shared" si="95"/>
        <v>41.830880000000001</v>
      </c>
      <c r="AJ64" s="293">
        <f t="shared" si="96"/>
        <v>41.830880000000001</v>
      </c>
      <c r="AK64" s="293">
        <f t="shared" si="97"/>
        <v>78.950302070534704</v>
      </c>
      <c r="AL64" s="293"/>
      <c r="AM64" s="293"/>
      <c r="AN64" s="293"/>
      <c r="AO64" s="293">
        <f t="shared" si="102"/>
        <v>0</v>
      </c>
      <c r="AP64" s="293">
        <f t="shared" si="103"/>
        <v>125.49263999999999</v>
      </c>
      <c r="AQ64" s="293">
        <f t="shared" si="104"/>
        <v>162.61206207053471</v>
      </c>
      <c r="AR64" s="293">
        <f t="shared" si="105"/>
        <v>0</v>
      </c>
      <c r="AS64" s="293">
        <f t="shared" si="106"/>
        <v>288.1047020705347</v>
      </c>
      <c r="AT64" s="293">
        <f t="shared" si="107"/>
        <v>0</v>
      </c>
      <c r="AU64" s="293">
        <f t="shared" si="108"/>
        <v>38.77722576</v>
      </c>
      <c r="AV64" s="293">
        <f t="shared" si="109"/>
        <v>50.247127179795221</v>
      </c>
      <c r="AW64" s="293">
        <f t="shared" si="110"/>
        <v>0</v>
      </c>
      <c r="AX64" s="293">
        <f t="shared" si="111"/>
        <v>89.024352939795222</v>
      </c>
      <c r="AY64" s="294"/>
      <c r="AZ64" s="294"/>
      <c r="BA64" s="295"/>
      <c r="BB64" s="294"/>
      <c r="BC64" s="293"/>
      <c r="BD64" s="293"/>
      <c r="BE64" s="296"/>
      <c r="BF64" s="293">
        <f t="shared" si="124"/>
        <v>0</v>
      </c>
      <c r="BG64" s="293">
        <f t="shared" si="112"/>
        <v>0</v>
      </c>
      <c r="BH64" s="293">
        <f t="shared" si="82"/>
        <v>0</v>
      </c>
      <c r="BI64" s="293">
        <f t="shared" si="113"/>
        <v>0</v>
      </c>
      <c r="BJ64" s="293">
        <f t="shared" si="114"/>
        <v>0</v>
      </c>
      <c r="BK64" s="293">
        <f t="shared" si="125"/>
        <v>0</v>
      </c>
      <c r="BL64" s="293">
        <f t="shared" si="115"/>
        <v>0</v>
      </c>
      <c r="BM64" s="293">
        <f t="shared" si="116"/>
        <v>0</v>
      </c>
      <c r="BN64" s="293">
        <f t="shared" si="117"/>
        <v>0</v>
      </c>
      <c r="BO64" s="293">
        <f t="shared" si="118"/>
        <v>0</v>
      </c>
      <c r="BP64" s="293">
        <f t="shared" si="119"/>
        <v>0</v>
      </c>
      <c r="BQ64" s="293">
        <f t="shared" si="120"/>
        <v>0</v>
      </c>
      <c r="BR64" s="293">
        <f t="shared" si="121"/>
        <v>0</v>
      </c>
      <c r="BS64" s="293">
        <f t="shared" si="122"/>
        <v>0</v>
      </c>
      <c r="BT64" s="293">
        <f t="shared" si="123"/>
        <v>0</v>
      </c>
    </row>
    <row r="65" spans="1:72" s="277" customFormat="1" ht="23.25" customHeight="1" x14ac:dyDescent="0.2">
      <c r="A65" s="278" t="s">
        <v>916</v>
      </c>
      <c r="B65" s="279" t="s">
        <v>917</v>
      </c>
      <c r="C65" s="280" t="s">
        <v>962</v>
      </c>
      <c r="D65" s="297" t="s">
        <v>926</v>
      </c>
      <c r="E65" s="282">
        <v>1</v>
      </c>
      <c r="F65" s="282" t="s">
        <v>923</v>
      </c>
      <c r="G65" s="283">
        <v>4</v>
      </c>
      <c r="H65" s="284">
        <v>1.36</v>
      </c>
      <c r="I65" s="285">
        <v>9100</v>
      </c>
      <c r="J65" s="285">
        <f t="shared" si="98"/>
        <v>12376</v>
      </c>
      <c r="K65" s="284"/>
      <c r="L65" s="285"/>
      <c r="M65" s="288"/>
      <c r="N65" s="285"/>
      <c r="O65" s="288"/>
      <c r="P65" s="285"/>
      <c r="Q65" s="289">
        <v>30</v>
      </c>
      <c r="R65" s="285">
        <f t="shared" si="99"/>
        <v>3712.8</v>
      </c>
      <c r="S65" s="285">
        <f t="shared" si="100"/>
        <v>12871.04</v>
      </c>
      <c r="T65" s="285">
        <f t="shared" si="101"/>
        <v>12871.04</v>
      </c>
      <c r="U65" s="285">
        <f t="shared" si="90"/>
        <v>41830.879999999997</v>
      </c>
      <c r="V65" s="285">
        <f t="shared" si="83"/>
        <v>41830.879999999997</v>
      </c>
      <c r="W65" s="285"/>
      <c r="X65" s="285"/>
      <c r="Y65" s="313"/>
      <c r="Z65" s="291">
        <f t="shared" si="91"/>
        <v>26</v>
      </c>
      <c r="AA65" s="291"/>
      <c r="AB65" s="292"/>
      <c r="AC65" s="293"/>
      <c r="AD65" s="293"/>
      <c r="AE65" s="293"/>
      <c r="AF65" s="293">
        <f t="shared" si="92"/>
        <v>41.830880000000001</v>
      </c>
      <c r="AG65" s="293">
        <f t="shared" si="93"/>
        <v>41.830880000000001</v>
      </c>
      <c r="AH65" s="293">
        <f t="shared" si="94"/>
        <v>41.830880000000001</v>
      </c>
      <c r="AI65" s="293">
        <f t="shared" si="95"/>
        <v>41.830880000000001</v>
      </c>
      <c r="AJ65" s="293">
        <f t="shared" si="96"/>
        <v>41.830880000000001</v>
      </c>
      <c r="AK65" s="293">
        <f t="shared" si="97"/>
        <v>78.950302070534704</v>
      </c>
      <c r="AL65" s="293"/>
      <c r="AM65" s="293"/>
      <c r="AN65" s="293"/>
      <c r="AO65" s="293">
        <f t="shared" si="102"/>
        <v>0</v>
      </c>
      <c r="AP65" s="293">
        <f t="shared" si="103"/>
        <v>125.49263999999999</v>
      </c>
      <c r="AQ65" s="293">
        <f t="shared" si="104"/>
        <v>162.61206207053471</v>
      </c>
      <c r="AR65" s="293">
        <f t="shared" si="105"/>
        <v>0</v>
      </c>
      <c r="AS65" s="293">
        <f t="shared" si="106"/>
        <v>288.1047020705347</v>
      </c>
      <c r="AT65" s="293">
        <f t="shared" si="107"/>
        <v>0</v>
      </c>
      <c r="AU65" s="293">
        <f t="shared" si="108"/>
        <v>38.77722576</v>
      </c>
      <c r="AV65" s="293">
        <f t="shared" si="109"/>
        <v>50.247127179795221</v>
      </c>
      <c r="AW65" s="293">
        <f t="shared" si="110"/>
        <v>0</v>
      </c>
      <c r="AX65" s="293">
        <f t="shared" si="111"/>
        <v>89.024352939795222</v>
      </c>
      <c r="AY65" s="294"/>
      <c r="AZ65" s="294"/>
      <c r="BA65" s="295"/>
      <c r="BB65" s="294"/>
      <c r="BC65" s="293"/>
      <c r="BD65" s="293"/>
      <c r="BE65" s="296"/>
      <c r="BF65" s="293">
        <f t="shared" si="124"/>
        <v>0</v>
      </c>
      <c r="BG65" s="293">
        <f t="shared" si="112"/>
        <v>0</v>
      </c>
      <c r="BH65" s="293">
        <f t="shared" si="82"/>
        <v>0</v>
      </c>
      <c r="BI65" s="293">
        <f t="shared" si="113"/>
        <v>0</v>
      </c>
      <c r="BJ65" s="293">
        <f t="shared" si="114"/>
        <v>0</v>
      </c>
      <c r="BK65" s="293">
        <f t="shared" si="125"/>
        <v>0</v>
      </c>
      <c r="BL65" s="293">
        <f t="shared" si="115"/>
        <v>0</v>
      </c>
      <c r="BM65" s="293">
        <f t="shared" si="116"/>
        <v>0</v>
      </c>
      <c r="BN65" s="293">
        <f t="shared" si="117"/>
        <v>0</v>
      </c>
      <c r="BO65" s="293">
        <f t="shared" si="118"/>
        <v>0</v>
      </c>
      <c r="BP65" s="293">
        <f t="shared" si="119"/>
        <v>0</v>
      </c>
      <c r="BQ65" s="293">
        <f t="shared" si="120"/>
        <v>0</v>
      </c>
      <c r="BR65" s="293">
        <f t="shared" si="121"/>
        <v>0</v>
      </c>
      <c r="BS65" s="293">
        <f t="shared" si="122"/>
        <v>0</v>
      </c>
      <c r="BT65" s="293">
        <f t="shared" si="123"/>
        <v>0</v>
      </c>
    </row>
    <row r="66" spans="1:72" s="277" customFormat="1" ht="23.25" customHeight="1" x14ac:dyDescent="0.2">
      <c r="A66" s="278" t="s">
        <v>916</v>
      </c>
      <c r="B66" s="279" t="s">
        <v>917</v>
      </c>
      <c r="C66" s="280" t="s">
        <v>962</v>
      </c>
      <c r="D66" s="297" t="s">
        <v>926</v>
      </c>
      <c r="E66" s="282">
        <v>1</v>
      </c>
      <c r="F66" s="282" t="s">
        <v>923</v>
      </c>
      <c r="G66" s="283">
        <v>4</v>
      </c>
      <c r="H66" s="284">
        <v>1.36</v>
      </c>
      <c r="I66" s="285">
        <v>9100</v>
      </c>
      <c r="J66" s="285">
        <f t="shared" si="98"/>
        <v>12376</v>
      </c>
      <c r="K66" s="284"/>
      <c r="L66" s="285"/>
      <c r="M66" s="288"/>
      <c r="N66" s="285"/>
      <c r="O66" s="288"/>
      <c r="P66" s="285"/>
      <c r="Q66" s="289">
        <v>30</v>
      </c>
      <c r="R66" s="285">
        <f t="shared" si="99"/>
        <v>3712.8</v>
      </c>
      <c r="S66" s="285">
        <f t="shared" si="100"/>
        <v>12871.04</v>
      </c>
      <c r="T66" s="285">
        <f t="shared" si="101"/>
        <v>12871.04</v>
      </c>
      <c r="U66" s="285">
        <f t="shared" si="90"/>
        <v>41830.879999999997</v>
      </c>
      <c r="V66" s="285">
        <f t="shared" si="83"/>
        <v>41830.879999999997</v>
      </c>
      <c r="W66" s="285"/>
      <c r="X66" s="285"/>
      <c r="Y66" s="313"/>
      <c r="Z66" s="291">
        <f t="shared" si="91"/>
        <v>26</v>
      </c>
      <c r="AA66" s="291"/>
      <c r="AB66" s="292"/>
      <c r="AC66" s="293"/>
      <c r="AD66" s="293"/>
      <c r="AE66" s="293"/>
      <c r="AF66" s="293">
        <f t="shared" si="92"/>
        <v>41.830880000000001</v>
      </c>
      <c r="AG66" s="293">
        <f t="shared" si="93"/>
        <v>41.830880000000001</v>
      </c>
      <c r="AH66" s="293">
        <f t="shared" si="94"/>
        <v>41.830880000000001</v>
      </c>
      <c r="AI66" s="293">
        <f t="shared" si="95"/>
        <v>41.830880000000001</v>
      </c>
      <c r="AJ66" s="293">
        <f t="shared" si="96"/>
        <v>41.830880000000001</v>
      </c>
      <c r="AK66" s="293">
        <f t="shared" si="97"/>
        <v>78.950302070534704</v>
      </c>
      <c r="AL66" s="293"/>
      <c r="AM66" s="293"/>
      <c r="AN66" s="293"/>
      <c r="AO66" s="293">
        <f t="shared" si="102"/>
        <v>0</v>
      </c>
      <c r="AP66" s="293">
        <f t="shared" si="103"/>
        <v>125.49263999999999</v>
      </c>
      <c r="AQ66" s="293">
        <f t="shared" si="104"/>
        <v>162.61206207053471</v>
      </c>
      <c r="AR66" s="293">
        <f t="shared" si="105"/>
        <v>0</v>
      </c>
      <c r="AS66" s="293">
        <f t="shared" si="106"/>
        <v>288.1047020705347</v>
      </c>
      <c r="AT66" s="293">
        <f t="shared" si="107"/>
        <v>0</v>
      </c>
      <c r="AU66" s="293">
        <f t="shared" si="108"/>
        <v>38.77722576</v>
      </c>
      <c r="AV66" s="293">
        <f t="shared" si="109"/>
        <v>50.247127179795221</v>
      </c>
      <c r="AW66" s="293">
        <f t="shared" si="110"/>
        <v>0</v>
      </c>
      <c r="AX66" s="293">
        <f t="shared" si="111"/>
        <v>89.024352939795222</v>
      </c>
      <c r="AY66" s="294"/>
      <c r="AZ66" s="294"/>
      <c r="BA66" s="295"/>
      <c r="BB66" s="294"/>
      <c r="BC66" s="293"/>
      <c r="BD66" s="293"/>
      <c r="BE66" s="296"/>
      <c r="BF66" s="293">
        <f t="shared" si="124"/>
        <v>0</v>
      </c>
      <c r="BG66" s="293">
        <f t="shared" si="112"/>
        <v>0</v>
      </c>
      <c r="BH66" s="293">
        <f t="shared" si="82"/>
        <v>0</v>
      </c>
      <c r="BI66" s="293">
        <f t="shared" si="113"/>
        <v>0</v>
      </c>
      <c r="BJ66" s="293">
        <f t="shared" si="114"/>
        <v>0</v>
      </c>
      <c r="BK66" s="293">
        <f t="shared" si="125"/>
        <v>0</v>
      </c>
      <c r="BL66" s="293">
        <f t="shared" si="115"/>
        <v>0</v>
      </c>
      <c r="BM66" s="293">
        <f t="shared" si="116"/>
        <v>0</v>
      </c>
      <c r="BN66" s="293">
        <f t="shared" si="117"/>
        <v>0</v>
      </c>
      <c r="BO66" s="293">
        <f t="shared" si="118"/>
        <v>0</v>
      </c>
      <c r="BP66" s="293">
        <f t="shared" si="119"/>
        <v>0</v>
      </c>
      <c r="BQ66" s="293">
        <f t="shared" si="120"/>
        <v>0</v>
      </c>
      <c r="BR66" s="293">
        <f t="shared" si="121"/>
        <v>0</v>
      </c>
      <c r="BS66" s="293">
        <f t="shared" si="122"/>
        <v>0</v>
      </c>
      <c r="BT66" s="293">
        <f t="shared" si="123"/>
        <v>0</v>
      </c>
    </row>
    <row r="67" spans="1:72" s="277" customFormat="1" ht="23.25" customHeight="1" x14ac:dyDescent="0.2">
      <c r="A67" s="278" t="s">
        <v>916</v>
      </c>
      <c r="B67" s="279" t="s">
        <v>917</v>
      </c>
      <c r="C67" s="280" t="s">
        <v>962</v>
      </c>
      <c r="D67" s="297" t="s">
        <v>926</v>
      </c>
      <c r="E67" s="282">
        <v>1</v>
      </c>
      <c r="F67" s="282" t="s">
        <v>923</v>
      </c>
      <c r="G67" s="283">
        <v>4</v>
      </c>
      <c r="H67" s="284">
        <v>1.36</v>
      </c>
      <c r="I67" s="285">
        <v>9100</v>
      </c>
      <c r="J67" s="285">
        <f t="shared" si="98"/>
        <v>12376</v>
      </c>
      <c r="K67" s="284"/>
      <c r="L67" s="285"/>
      <c r="M67" s="288"/>
      <c r="N67" s="285"/>
      <c r="O67" s="288"/>
      <c r="P67" s="285"/>
      <c r="Q67" s="289">
        <v>30</v>
      </c>
      <c r="R67" s="285">
        <f t="shared" si="99"/>
        <v>3712.8</v>
      </c>
      <c r="S67" s="285">
        <f t="shared" si="100"/>
        <v>12871.04</v>
      </c>
      <c r="T67" s="285">
        <f t="shared" si="101"/>
        <v>12871.04</v>
      </c>
      <c r="U67" s="285">
        <f t="shared" si="90"/>
        <v>41830.879999999997</v>
      </c>
      <c r="V67" s="285">
        <f t="shared" si="83"/>
        <v>41830.879999999997</v>
      </c>
      <c r="W67" s="285"/>
      <c r="X67" s="285"/>
      <c r="Y67" s="313"/>
      <c r="Z67" s="291">
        <f t="shared" si="91"/>
        <v>26</v>
      </c>
      <c r="AA67" s="291"/>
      <c r="AB67" s="292"/>
      <c r="AC67" s="293"/>
      <c r="AD67" s="293"/>
      <c r="AE67" s="293"/>
      <c r="AF67" s="293">
        <f t="shared" si="92"/>
        <v>41.830880000000001</v>
      </c>
      <c r="AG67" s="293">
        <f t="shared" si="93"/>
        <v>41.830880000000001</v>
      </c>
      <c r="AH67" s="293">
        <f t="shared" si="94"/>
        <v>41.830880000000001</v>
      </c>
      <c r="AI67" s="293">
        <f t="shared" si="95"/>
        <v>41.830880000000001</v>
      </c>
      <c r="AJ67" s="293">
        <f t="shared" si="96"/>
        <v>41.830880000000001</v>
      </c>
      <c r="AK67" s="293">
        <f t="shared" si="97"/>
        <v>78.950302070534704</v>
      </c>
      <c r="AL67" s="293"/>
      <c r="AM67" s="293"/>
      <c r="AN67" s="293"/>
      <c r="AO67" s="293">
        <f t="shared" si="102"/>
        <v>0</v>
      </c>
      <c r="AP67" s="293">
        <f t="shared" si="103"/>
        <v>125.49263999999999</v>
      </c>
      <c r="AQ67" s="293">
        <f t="shared" si="104"/>
        <v>162.61206207053471</v>
      </c>
      <c r="AR67" s="293">
        <f t="shared" si="105"/>
        <v>0</v>
      </c>
      <c r="AS67" s="293">
        <f t="shared" si="106"/>
        <v>288.1047020705347</v>
      </c>
      <c r="AT67" s="293">
        <f t="shared" si="107"/>
        <v>0</v>
      </c>
      <c r="AU67" s="293">
        <f t="shared" si="108"/>
        <v>38.77722576</v>
      </c>
      <c r="AV67" s="293">
        <f t="shared" si="109"/>
        <v>50.247127179795221</v>
      </c>
      <c r="AW67" s="293">
        <f t="shared" si="110"/>
        <v>0</v>
      </c>
      <c r="AX67" s="293">
        <f t="shared" si="111"/>
        <v>89.024352939795222</v>
      </c>
      <c r="AY67" s="294"/>
      <c r="AZ67" s="294"/>
      <c r="BA67" s="295"/>
      <c r="BB67" s="294"/>
      <c r="BC67" s="293"/>
      <c r="BD67" s="293"/>
      <c r="BE67" s="296"/>
      <c r="BF67" s="293">
        <f t="shared" si="124"/>
        <v>0</v>
      </c>
      <c r="BG67" s="293">
        <f t="shared" si="112"/>
        <v>0</v>
      </c>
      <c r="BH67" s="293">
        <f t="shared" si="82"/>
        <v>0</v>
      </c>
      <c r="BI67" s="293">
        <f t="shared" si="113"/>
        <v>0</v>
      </c>
      <c r="BJ67" s="293">
        <f t="shared" si="114"/>
        <v>0</v>
      </c>
      <c r="BK67" s="293">
        <f t="shared" si="125"/>
        <v>0</v>
      </c>
      <c r="BL67" s="293">
        <f t="shared" si="115"/>
        <v>0</v>
      </c>
      <c r="BM67" s="293">
        <f t="shared" si="116"/>
        <v>0</v>
      </c>
      <c r="BN67" s="293">
        <f t="shared" si="117"/>
        <v>0</v>
      </c>
      <c r="BO67" s="293">
        <f t="shared" si="118"/>
        <v>0</v>
      </c>
      <c r="BP67" s="293">
        <f t="shared" si="119"/>
        <v>0</v>
      </c>
      <c r="BQ67" s="293">
        <f t="shared" si="120"/>
        <v>0</v>
      </c>
      <c r="BR67" s="293">
        <f t="shared" si="121"/>
        <v>0</v>
      </c>
      <c r="BS67" s="293">
        <f t="shared" si="122"/>
        <v>0</v>
      </c>
      <c r="BT67" s="293">
        <f t="shared" si="123"/>
        <v>0</v>
      </c>
    </row>
    <row r="68" spans="1:72" s="277" customFormat="1" ht="23.25" customHeight="1" x14ac:dyDescent="0.2">
      <c r="A68" s="278" t="s">
        <v>916</v>
      </c>
      <c r="B68" s="279" t="s">
        <v>917</v>
      </c>
      <c r="C68" s="280" t="s">
        <v>962</v>
      </c>
      <c r="D68" s="297" t="s">
        <v>926</v>
      </c>
      <c r="E68" s="282">
        <v>1</v>
      </c>
      <c r="F68" s="282" t="s">
        <v>923</v>
      </c>
      <c r="G68" s="283">
        <v>4</v>
      </c>
      <c r="H68" s="284">
        <v>1.36</v>
      </c>
      <c r="I68" s="285">
        <v>9100</v>
      </c>
      <c r="J68" s="285">
        <f t="shared" si="98"/>
        <v>12376</v>
      </c>
      <c r="K68" s="284"/>
      <c r="L68" s="285"/>
      <c r="M68" s="288"/>
      <c r="N68" s="285"/>
      <c r="O68" s="288"/>
      <c r="P68" s="285"/>
      <c r="Q68" s="289">
        <v>30</v>
      </c>
      <c r="R68" s="285">
        <f t="shared" si="99"/>
        <v>3712.8</v>
      </c>
      <c r="S68" s="285">
        <f t="shared" si="100"/>
        <v>12871.04</v>
      </c>
      <c r="T68" s="285">
        <f t="shared" si="101"/>
        <v>12871.04</v>
      </c>
      <c r="U68" s="285">
        <f t="shared" si="90"/>
        <v>41830.879999999997</v>
      </c>
      <c r="V68" s="285">
        <f t="shared" si="83"/>
        <v>41830.879999999997</v>
      </c>
      <c r="W68" s="285"/>
      <c r="X68" s="285"/>
      <c r="Y68" s="313"/>
      <c r="Z68" s="291">
        <f t="shared" si="91"/>
        <v>26</v>
      </c>
      <c r="AA68" s="291"/>
      <c r="AB68" s="292"/>
      <c r="AC68" s="293"/>
      <c r="AD68" s="293"/>
      <c r="AE68" s="293"/>
      <c r="AF68" s="293">
        <f t="shared" si="92"/>
        <v>41.830880000000001</v>
      </c>
      <c r="AG68" s="293">
        <f t="shared" si="93"/>
        <v>41.830880000000001</v>
      </c>
      <c r="AH68" s="293">
        <f t="shared" si="94"/>
        <v>41.830880000000001</v>
      </c>
      <c r="AI68" s="293">
        <f t="shared" si="95"/>
        <v>41.830880000000001</v>
      </c>
      <c r="AJ68" s="293">
        <f t="shared" si="96"/>
        <v>41.830880000000001</v>
      </c>
      <c r="AK68" s="293">
        <f t="shared" si="97"/>
        <v>78.950302070534704</v>
      </c>
      <c r="AL68" s="293"/>
      <c r="AM68" s="293"/>
      <c r="AN68" s="293"/>
      <c r="AO68" s="293">
        <f t="shared" si="102"/>
        <v>0</v>
      </c>
      <c r="AP68" s="293">
        <f t="shared" si="103"/>
        <v>125.49263999999999</v>
      </c>
      <c r="AQ68" s="293">
        <f t="shared" si="104"/>
        <v>162.61206207053471</v>
      </c>
      <c r="AR68" s="293">
        <f t="shared" si="105"/>
        <v>0</v>
      </c>
      <c r="AS68" s="293">
        <f t="shared" si="106"/>
        <v>288.1047020705347</v>
      </c>
      <c r="AT68" s="293">
        <f t="shared" si="107"/>
        <v>0</v>
      </c>
      <c r="AU68" s="293">
        <f t="shared" si="108"/>
        <v>38.77722576</v>
      </c>
      <c r="AV68" s="293">
        <f t="shared" si="109"/>
        <v>50.247127179795221</v>
      </c>
      <c r="AW68" s="293">
        <f t="shared" si="110"/>
        <v>0</v>
      </c>
      <c r="AX68" s="293">
        <f t="shared" si="111"/>
        <v>89.024352939795222</v>
      </c>
      <c r="AY68" s="294"/>
      <c r="AZ68" s="294"/>
      <c r="BA68" s="295"/>
      <c r="BB68" s="294"/>
      <c r="BC68" s="293"/>
      <c r="BD68" s="293"/>
      <c r="BE68" s="296"/>
      <c r="BF68" s="293">
        <f t="shared" si="124"/>
        <v>0</v>
      </c>
      <c r="BG68" s="293">
        <f t="shared" si="112"/>
        <v>0</v>
      </c>
      <c r="BH68" s="293">
        <f t="shared" si="82"/>
        <v>0</v>
      </c>
      <c r="BI68" s="293">
        <f t="shared" si="113"/>
        <v>0</v>
      </c>
      <c r="BJ68" s="293">
        <f t="shared" si="114"/>
        <v>0</v>
      </c>
      <c r="BK68" s="293">
        <f t="shared" si="125"/>
        <v>0</v>
      </c>
      <c r="BL68" s="293">
        <f t="shared" si="115"/>
        <v>0</v>
      </c>
      <c r="BM68" s="293">
        <f t="shared" si="116"/>
        <v>0</v>
      </c>
      <c r="BN68" s="293">
        <f t="shared" si="117"/>
        <v>0</v>
      </c>
      <c r="BO68" s="293">
        <f t="shared" si="118"/>
        <v>0</v>
      </c>
      <c r="BP68" s="293">
        <f t="shared" si="119"/>
        <v>0</v>
      </c>
      <c r="BQ68" s="293">
        <f t="shared" si="120"/>
        <v>0</v>
      </c>
      <c r="BR68" s="293">
        <f t="shared" si="121"/>
        <v>0</v>
      </c>
      <c r="BS68" s="293">
        <f t="shared" si="122"/>
        <v>0</v>
      </c>
      <c r="BT68" s="293">
        <f t="shared" si="123"/>
        <v>0</v>
      </c>
    </row>
    <row r="69" spans="1:72" s="277" customFormat="1" ht="23.25" customHeight="1" x14ac:dyDescent="0.2">
      <c r="A69" s="278" t="s">
        <v>916</v>
      </c>
      <c r="B69" s="279" t="s">
        <v>917</v>
      </c>
      <c r="C69" s="280" t="s">
        <v>962</v>
      </c>
      <c r="D69" s="297" t="s">
        <v>926</v>
      </c>
      <c r="E69" s="282">
        <v>1</v>
      </c>
      <c r="F69" s="282" t="s">
        <v>923</v>
      </c>
      <c r="G69" s="283">
        <v>4</v>
      </c>
      <c r="H69" s="284">
        <v>1.36</v>
      </c>
      <c r="I69" s="285">
        <v>9100</v>
      </c>
      <c r="J69" s="285">
        <f t="shared" si="98"/>
        <v>12376</v>
      </c>
      <c r="K69" s="284"/>
      <c r="L69" s="285"/>
      <c r="M69" s="288"/>
      <c r="N69" s="285"/>
      <c r="O69" s="288"/>
      <c r="P69" s="285"/>
      <c r="Q69" s="289">
        <v>30</v>
      </c>
      <c r="R69" s="285">
        <f t="shared" si="99"/>
        <v>3712.8</v>
      </c>
      <c r="S69" s="285">
        <f t="shared" si="100"/>
        <v>12871.04</v>
      </c>
      <c r="T69" s="285">
        <f t="shared" si="101"/>
        <v>12871.04</v>
      </c>
      <c r="U69" s="285">
        <f t="shared" si="90"/>
        <v>41830.879999999997</v>
      </c>
      <c r="V69" s="285">
        <f t="shared" si="83"/>
        <v>41830.879999999997</v>
      </c>
      <c r="W69" s="285"/>
      <c r="X69" s="285"/>
      <c r="Y69" s="313"/>
      <c r="Z69" s="291">
        <f t="shared" si="91"/>
        <v>26</v>
      </c>
      <c r="AA69" s="291"/>
      <c r="AB69" s="292"/>
      <c r="AC69" s="293"/>
      <c r="AD69" s="293"/>
      <c r="AE69" s="293"/>
      <c r="AF69" s="293">
        <f t="shared" si="92"/>
        <v>41.830880000000001</v>
      </c>
      <c r="AG69" s="293">
        <f t="shared" si="93"/>
        <v>41.830880000000001</v>
      </c>
      <c r="AH69" s="293">
        <f t="shared" si="94"/>
        <v>41.830880000000001</v>
      </c>
      <c r="AI69" s="293">
        <f t="shared" si="95"/>
        <v>41.830880000000001</v>
      </c>
      <c r="AJ69" s="293">
        <f t="shared" si="96"/>
        <v>41.830880000000001</v>
      </c>
      <c r="AK69" s="293">
        <f t="shared" si="97"/>
        <v>78.950302070534704</v>
      </c>
      <c r="AL69" s="293"/>
      <c r="AM69" s="293"/>
      <c r="AN69" s="293"/>
      <c r="AO69" s="293">
        <f t="shared" si="102"/>
        <v>0</v>
      </c>
      <c r="AP69" s="293">
        <f t="shared" si="103"/>
        <v>125.49263999999999</v>
      </c>
      <c r="AQ69" s="293">
        <f t="shared" si="104"/>
        <v>162.61206207053471</v>
      </c>
      <c r="AR69" s="293">
        <f t="shared" si="105"/>
        <v>0</v>
      </c>
      <c r="AS69" s="293">
        <f t="shared" si="106"/>
        <v>288.1047020705347</v>
      </c>
      <c r="AT69" s="293">
        <f t="shared" si="107"/>
        <v>0</v>
      </c>
      <c r="AU69" s="293">
        <f t="shared" si="108"/>
        <v>38.77722576</v>
      </c>
      <c r="AV69" s="293">
        <f t="shared" si="109"/>
        <v>50.247127179795221</v>
      </c>
      <c r="AW69" s="293">
        <f t="shared" si="110"/>
        <v>0</v>
      </c>
      <c r="AX69" s="293">
        <f t="shared" si="111"/>
        <v>89.024352939795222</v>
      </c>
      <c r="AY69" s="294"/>
      <c r="AZ69" s="294"/>
      <c r="BA69" s="295"/>
      <c r="BB69" s="294"/>
      <c r="BC69" s="293"/>
      <c r="BD69" s="293"/>
      <c r="BE69" s="296"/>
      <c r="BF69" s="293">
        <f t="shared" si="124"/>
        <v>0</v>
      </c>
      <c r="BG69" s="293">
        <f t="shared" si="112"/>
        <v>0</v>
      </c>
      <c r="BH69" s="293">
        <f t="shared" si="82"/>
        <v>0</v>
      </c>
      <c r="BI69" s="293">
        <f t="shared" si="113"/>
        <v>0</v>
      </c>
      <c r="BJ69" s="293">
        <f t="shared" si="114"/>
        <v>0</v>
      </c>
      <c r="BK69" s="293">
        <f t="shared" si="125"/>
        <v>0</v>
      </c>
      <c r="BL69" s="293">
        <f t="shared" si="115"/>
        <v>0</v>
      </c>
      <c r="BM69" s="293">
        <f t="shared" si="116"/>
        <v>0</v>
      </c>
      <c r="BN69" s="293">
        <f t="shared" si="117"/>
        <v>0</v>
      </c>
      <c r="BO69" s="293">
        <f t="shared" si="118"/>
        <v>0</v>
      </c>
      <c r="BP69" s="293">
        <f t="shared" si="119"/>
        <v>0</v>
      </c>
      <c r="BQ69" s="293">
        <f t="shared" si="120"/>
        <v>0</v>
      </c>
      <c r="BR69" s="293">
        <f t="shared" si="121"/>
        <v>0</v>
      </c>
      <c r="BS69" s="293">
        <f t="shared" si="122"/>
        <v>0</v>
      </c>
      <c r="BT69" s="293">
        <f t="shared" si="123"/>
        <v>0</v>
      </c>
    </row>
    <row r="70" spans="1:72" s="277" customFormat="1" ht="23.25" customHeight="1" x14ac:dyDescent="0.2">
      <c r="A70" s="278" t="s">
        <v>916</v>
      </c>
      <c r="B70" s="279" t="s">
        <v>917</v>
      </c>
      <c r="C70" s="280" t="s">
        <v>962</v>
      </c>
      <c r="D70" s="297" t="s">
        <v>926</v>
      </c>
      <c r="E70" s="282">
        <v>1</v>
      </c>
      <c r="F70" s="282" t="s">
        <v>923</v>
      </c>
      <c r="G70" s="283">
        <v>4</v>
      </c>
      <c r="H70" s="284">
        <v>1.36</v>
      </c>
      <c r="I70" s="285">
        <v>9100</v>
      </c>
      <c r="J70" s="285">
        <f t="shared" si="98"/>
        <v>12376</v>
      </c>
      <c r="K70" s="284"/>
      <c r="L70" s="285"/>
      <c r="M70" s="288"/>
      <c r="N70" s="285"/>
      <c r="O70" s="288"/>
      <c r="P70" s="285"/>
      <c r="Q70" s="289">
        <v>30</v>
      </c>
      <c r="R70" s="285">
        <f t="shared" si="99"/>
        <v>3712.8</v>
      </c>
      <c r="S70" s="285">
        <f t="shared" si="100"/>
        <v>12871.04</v>
      </c>
      <c r="T70" s="285">
        <f t="shared" si="101"/>
        <v>12871.04</v>
      </c>
      <c r="U70" s="285">
        <f t="shared" si="90"/>
        <v>41830.879999999997</v>
      </c>
      <c r="V70" s="285">
        <f t="shared" si="83"/>
        <v>41830.879999999997</v>
      </c>
      <c r="W70" s="285"/>
      <c r="X70" s="285"/>
      <c r="Y70" s="313"/>
      <c r="Z70" s="291">
        <f t="shared" si="91"/>
        <v>26</v>
      </c>
      <c r="AA70" s="291"/>
      <c r="AB70" s="292"/>
      <c r="AC70" s="293"/>
      <c r="AD70" s="293"/>
      <c r="AE70" s="293"/>
      <c r="AF70" s="293">
        <f t="shared" si="92"/>
        <v>41.830880000000001</v>
      </c>
      <c r="AG70" s="293">
        <f t="shared" si="93"/>
        <v>41.830880000000001</v>
      </c>
      <c r="AH70" s="293">
        <f t="shared" si="94"/>
        <v>41.830880000000001</v>
      </c>
      <c r="AI70" s="293">
        <f t="shared" si="95"/>
        <v>41.830880000000001</v>
      </c>
      <c r="AJ70" s="293">
        <f t="shared" si="96"/>
        <v>41.830880000000001</v>
      </c>
      <c r="AK70" s="293">
        <f t="shared" si="97"/>
        <v>78.950302070534704</v>
      </c>
      <c r="AL70" s="293"/>
      <c r="AM70" s="293"/>
      <c r="AN70" s="293"/>
      <c r="AO70" s="293">
        <f t="shared" si="102"/>
        <v>0</v>
      </c>
      <c r="AP70" s="293">
        <f t="shared" si="103"/>
        <v>125.49263999999999</v>
      </c>
      <c r="AQ70" s="293">
        <f t="shared" si="104"/>
        <v>162.61206207053471</v>
      </c>
      <c r="AR70" s="293">
        <f t="shared" si="105"/>
        <v>0</v>
      </c>
      <c r="AS70" s="293">
        <f t="shared" si="106"/>
        <v>288.1047020705347</v>
      </c>
      <c r="AT70" s="293">
        <f t="shared" si="107"/>
        <v>0</v>
      </c>
      <c r="AU70" s="293">
        <f t="shared" si="108"/>
        <v>38.77722576</v>
      </c>
      <c r="AV70" s="293">
        <f t="shared" si="109"/>
        <v>50.247127179795221</v>
      </c>
      <c r="AW70" s="293">
        <f t="shared" si="110"/>
        <v>0</v>
      </c>
      <c r="AX70" s="293">
        <f t="shared" si="111"/>
        <v>89.024352939795222</v>
      </c>
      <c r="AY70" s="294"/>
      <c r="AZ70" s="294"/>
      <c r="BA70" s="295"/>
      <c r="BB70" s="294"/>
      <c r="BC70" s="293"/>
      <c r="BD70" s="293"/>
      <c r="BE70" s="296"/>
      <c r="BF70" s="293">
        <f t="shared" si="124"/>
        <v>0</v>
      </c>
      <c r="BG70" s="293">
        <f t="shared" si="112"/>
        <v>0</v>
      </c>
      <c r="BH70" s="293">
        <f t="shared" si="82"/>
        <v>0</v>
      </c>
      <c r="BI70" s="293">
        <f t="shared" si="113"/>
        <v>0</v>
      </c>
      <c r="BJ70" s="293">
        <f t="shared" si="114"/>
        <v>0</v>
      </c>
      <c r="BK70" s="293">
        <f t="shared" si="125"/>
        <v>0</v>
      </c>
      <c r="BL70" s="293">
        <f t="shared" si="115"/>
        <v>0</v>
      </c>
      <c r="BM70" s="293">
        <f t="shared" si="116"/>
        <v>0</v>
      </c>
      <c r="BN70" s="293">
        <f t="shared" si="117"/>
        <v>0</v>
      </c>
      <c r="BO70" s="293">
        <f t="shared" si="118"/>
        <v>0</v>
      </c>
      <c r="BP70" s="293">
        <f t="shared" si="119"/>
        <v>0</v>
      </c>
      <c r="BQ70" s="293">
        <f t="shared" si="120"/>
        <v>0</v>
      </c>
      <c r="BR70" s="293">
        <f t="shared" si="121"/>
        <v>0</v>
      </c>
      <c r="BS70" s="293">
        <f t="shared" si="122"/>
        <v>0</v>
      </c>
      <c r="BT70" s="293">
        <f t="shared" si="123"/>
        <v>0</v>
      </c>
    </row>
    <row r="71" spans="1:72" ht="17.25" customHeight="1" x14ac:dyDescent="0.2">
      <c r="A71" s="227" t="s">
        <v>916</v>
      </c>
      <c r="B71" s="228" t="s">
        <v>917</v>
      </c>
      <c r="C71" s="229" t="s">
        <v>962</v>
      </c>
      <c r="D71" s="248" t="s">
        <v>963</v>
      </c>
      <c r="E71" s="231">
        <v>1</v>
      </c>
      <c r="F71" s="231" t="s">
        <v>923</v>
      </c>
      <c r="G71" s="219">
        <v>3</v>
      </c>
      <c r="H71" s="275">
        <v>1.23</v>
      </c>
      <c r="I71" s="238">
        <v>9100</v>
      </c>
      <c r="J71" s="238">
        <f t="shared" si="98"/>
        <v>11193</v>
      </c>
      <c r="K71" s="275"/>
      <c r="L71" s="238"/>
      <c r="M71" s="232"/>
      <c r="N71" s="238"/>
      <c r="O71" s="232"/>
      <c r="P71" s="238"/>
      <c r="Q71" s="246">
        <v>30</v>
      </c>
      <c r="R71" s="238">
        <f t="shared" si="99"/>
        <v>3357.9</v>
      </c>
      <c r="S71" s="238">
        <f t="shared" si="100"/>
        <v>11640.72</v>
      </c>
      <c r="T71" s="238">
        <f t="shared" si="101"/>
        <v>11640.72</v>
      </c>
      <c r="U71" s="238">
        <f t="shared" si="90"/>
        <v>37832.339999999997</v>
      </c>
      <c r="V71" s="238">
        <f t="shared" si="83"/>
        <v>37832.339999999997</v>
      </c>
      <c r="W71" s="238"/>
      <c r="X71" s="238"/>
      <c r="Y71" s="301"/>
      <c r="Z71" s="256"/>
      <c r="AA71" s="256"/>
      <c r="AB71" s="234">
        <f t="shared" ref="AB71:AB78" si="126">V71/12/1000</f>
        <v>3.1526949999999996</v>
      </c>
      <c r="AC71" s="240">
        <f t="shared" ref="AC71:AC78" si="127">V71/1000+AB71</f>
        <v>40.985034999999996</v>
      </c>
      <c r="AD71" s="240">
        <f t="shared" ref="AD71:AD78" si="128">V71/1000+AB71</f>
        <v>40.985034999999996</v>
      </c>
      <c r="AE71" s="240">
        <f t="shared" ref="AE71:AE78" si="129">V71/1000+AB71</f>
        <v>40.985034999999996</v>
      </c>
      <c r="AF71" s="240">
        <f t="shared" ref="AF71:AF78" si="130">V71/1000+AB71</f>
        <v>40.985034999999996</v>
      </c>
      <c r="AG71" s="240">
        <f t="shared" ref="AG71:AG78" si="131">V71/1000+AB71</f>
        <v>40.985034999999996</v>
      </c>
      <c r="AH71" s="240">
        <f t="shared" ref="AH71:AH78" si="132">V71/1000+AB71</f>
        <v>40.985034999999996</v>
      </c>
      <c r="AI71" s="240">
        <f t="shared" ref="AI71:AI78" si="133">V71/1000+AB71</f>
        <v>40.985034999999996</v>
      </c>
      <c r="AJ71" s="240">
        <f t="shared" ref="AJ71:AJ78" si="134">V71/1000+AB71</f>
        <v>40.985034999999996</v>
      </c>
      <c r="AK71" s="240">
        <f t="shared" ref="AK71:AK78" si="135">V71/1000+AB71</f>
        <v>40.985034999999996</v>
      </c>
      <c r="AL71" s="240">
        <f t="shared" ref="AL71:AL78" si="136">V71/1000+AB71</f>
        <v>40.985034999999996</v>
      </c>
      <c r="AM71" s="240">
        <f t="shared" ref="AM71:AM78" si="137">V71/1000+AB71</f>
        <v>40.985034999999996</v>
      </c>
      <c r="AN71" s="240">
        <f t="shared" ref="AN71:AN78" si="138">V71/1000+AB71</f>
        <v>40.985034999999996</v>
      </c>
      <c r="AO71" s="240">
        <f t="shared" si="102"/>
        <v>122.95510499999999</v>
      </c>
      <c r="AP71" s="240">
        <f t="shared" si="103"/>
        <v>122.95510499999999</v>
      </c>
      <c r="AQ71" s="240">
        <f t="shared" si="104"/>
        <v>122.95510499999999</v>
      </c>
      <c r="AR71" s="240">
        <f t="shared" si="105"/>
        <v>122.95510499999999</v>
      </c>
      <c r="AS71" s="240">
        <f t="shared" si="106"/>
        <v>491.82041999999996</v>
      </c>
      <c r="AT71" s="240">
        <f t="shared" si="107"/>
        <v>37.993127444999999</v>
      </c>
      <c r="AU71" s="240">
        <f t="shared" si="108"/>
        <v>37.993127444999999</v>
      </c>
      <c r="AV71" s="240">
        <f t="shared" si="109"/>
        <v>37.993127444999999</v>
      </c>
      <c r="AW71" s="240">
        <f t="shared" si="110"/>
        <v>37.993127444999999</v>
      </c>
      <c r="AX71" s="240">
        <f t="shared" si="111"/>
        <v>151.97250978</v>
      </c>
      <c r="AY71" s="224">
        <f>5000/1000/4</f>
        <v>1.25</v>
      </c>
      <c r="AZ71" s="224">
        <f>3500/1000</f>
        <v>3.5</v>
      </c>
      <c r="BA71" s="225">
        <f>5000/1000</f>
        <v>5</v>
      </c>
      <c r="BB71" s="224">
        <f>3500/1000</f>
        <v>3.5</v>
      </c>
      <c r="BC71" s="240"/>
      <c r="BD71" s="240"/>
      <c r="BE71" s="250"/>
      <c r="BF71" s="240">
        <f t="shared" si="124"/>
        <v>4.75</v>
      </c>
      <c r="BG71" s="240">
        <f t="shared" si="112"/>
        <v>1.25</v>
      </c>
      <c r="BH71" s="240">
        <f t="shared" si="82"/>
        <v>6.25</v>
      </c>
      <c r="BI71" s="240">
        <f t="shared" si="113"/>
        <v>4.75</v>
      </c>
      <c r="BJ71" s="240">
        <f t="shared" si="114"/>
        <v>17</v>
      </c>
      <c r="BK71" s="240">
        <f t="shared" si="125"/>
        <v>1.4677499999999999</v>
      </c>
      <c r="BL71" s="240">
        <f t="shared" si="115"/>
        <v>0.38624999999999998</v>
      </c>
      <c r="BM71" s="240">
        <f t="shared" si="116"/>
        <v>1.9312499999999999</v>
      </c>
      <c r="BN71" s="240">
        <f t="shared" si="117"/>
        <v>1.4677499999999999</v>
      </c>
      <c r="BO71" s="240">
        <f t="shared" si="118"/>
        <v>5.2529999999999992</v>
      </c>
      <c r="BP71" s="240">
        <f t="shared" si="119"/>
        <v>6.2177499999999997</v>
      </c>
      <c r="BQ71" s="240">
        <f t="shared" si="120"/>
        <v>1.63625</v>
      </c>
      <c r="BR71" s="240">
        <f t="shared" si="121"/>
        <v>8.1812500000000004</v>
      </c>
      <c r="BS71" s="240">
        <f t="shared" si="122"/>
        <v>6.2177499999999997</v>
      </c>
      <c r="BT71" s="240">
        <f t="shared" si="123"/>
        <v>22.252999999999997</v>
      </c>
    </row>
    <row r="72" spans="1:72" ht="17.25" customHeight="1" x14ac:dyDescent="0.2">
      <c r="A72" s="227" t="s">
        <v>916</v>
      </c>
      <c r="B72" s="228" t="s">
        <v>917</v>
      </c>
      <c r="C72" s="229" t="s">
        <v>964</v>
      </c>
      <c r="D72" s="248" t="s">
        <v>965</v>
      </c>
      <c r="E72" s="231">
        <v>1</v>
      </c>
      <c r="F72" s="231" t="s">
        <v>923</v>
      </c>
      <c r="G72" s="219">
        <v>3</v>
      </c>
      <c r="H72" s="275">
        <v>1.23</v>
      </c>
      <c r="I72" s="238">
        <v>9100</v>
      </c>
      <c r="J72" s="238">
        <f t="shared" si="98"/>
        <v>11193</v>
      </c>
      <c r="K72" s="219">
        <v>4</v>
      </c>
      <c r="L72" s="238">
        <f>J72*K72%</f>
        <v>447.72</v>
      </c>
      <c r="M72" s="232"/>
      <c r="N72" s="238"/>
      <c r="O72" s="232"/>
      <c r="P72" s="238"/>
      <c r="Q72" s="246">
        <v>30</v>
      </c>
      <c r="R72" s="238">
        <f t="shared" si="99"/>
        <v>3492.22</v>
      </c>
      <c r="S72" s="238">
        <f t="shared" si="100"/>
        <v>12106.35</v>
      </c>
      <c r="T72" s="238">
        <f t="shared" si="101"/>
        <v>12106.35</v>
      </c>
      <c r="U72" s="238">
        <f>ROUND((J72+L72+N72+P72+R72+S72+T72)*E72, 2)</f>
        <v>39345.64</v>
      </c>
      <c r="V72" s="238">
        <f t="shared" si="83"/>
        <v>39345.64</v>
      </c>
      <c r="W72" s="238"/>
      <c r="X72" s="238"/>
      <c r="Y72" s="301"/>
      <c r="Z72" s="256"/>
      <c r="AA72" s="256"/>
      <c r="AB72" s="234">
        <f t="shared" si="126"/>
        <v>3.2788033333333333</v>
      </c>
      <c r="AC72" s="240">
        <f t="shared" si="127"/>
        <v>42.624443333333332</v>
      </c>
      <c r="AD72" s="240">
        <f t="shared" si="128"/>
        <v>42.624443333333332</v>
      </c>
      <c r="AE72" s="240">
        <f t="shared" si="129"/>
        <v>42.624443333333332</v>
      </c>
      <c r="AF72" s="240">
        <f t="shared" si="130"/>
        <v>42.624443333333332</v>
      </c>
      <c r="AG72" s="240">
        <f t="shared" si="131"/>
        <v>42.624443333333332</v>
      </c>
      <c r="AH72" s="240">
        <f t="shared" si="132"/>
        <v>42.624443333333332</v>
      </c>
      <c r="AI72" s="240">
        <f t="shared" si="133"/>
        <v>42.624443333333332</v>
      </c>
      <c r="AJ72" s="240">
        <f t="shared" si="134"/>
        <v>42.624443333333332</v>
      </c>
      <c r="AK72" s="240">
        <f t="shared" si="135"/>
        <v>42.624443333333332</v>
      </c>
      <c r="AL72" s="240">
        <f t="shared" si="136"/>
        <v>42.624443333333332</v>
      </c>
      <c r="AM72" s="240">
        <f t="shared" si="137"/>
        <v>42.624443333333332</v>
      </c>
      <c r="AN72" s="240">
        <f t="shared" si="138"/>
        <v>42.624443333333332</v>
      </c>
      <c r="AO72" s="240">
        <f t="shared" si="102"/>
        <v>127.87333</v>
      </c>
      <c r="AP72" s="240">
        <f t="shared" si="103"/>
        <v>127.87333</v>
      </c>
      <c r="AQ72" s="240">
        <f t="shared" si="104"/>
        <v>127.87333</v>
      </c>
      <c r="AR72" s="240">
        <f t="shared" si="105"/>
        <v>127.87333</v>
      </c>
      <c r="AS72" s="240">
        <f t="shared" si="106"/>
        <v>511.49331999999998</v>
      </c>
      <c r="AT72" s="240">
        <f t="shared" si="107"/>
        <v>39.512858969999996</v>
      </c>
      <c r="AU72" s="240">
        <f t="shared" si="108"/>
        <v>39.512858969999996</v>
      </c>
      <c r="AV72" s="240">
        <f t="shared" si="109"/>
        <v>39.512858969999996</v>
      </c>
      <c r="AW72" s="240">
        <f t="shared" si="110"/>
        <v>39.512858969999996</v>
      </c>
      <c r="AX72" s="240">
        <f t="shared" si="111"/>
        <v>158.05143587999999</v>
      </c>
      <c r="AY72" s="224">
        <f>5000/1000/4</f>
        <v>1.25</v>
      </c>
      <c r="AZ72" s="224">
        <f>3500/1000</f>
        <v>3.5</v>
      </c>
      <c r="BA72" s="225">
        <f>5000/1000</f>
        <v>5</v>
      </c>
      <c r="BB72" s="224">
        <f>3500/1000</f>
        <v>3.5</v>
      </c>
      <c r="BC72" s="240"/>
      <c r="BD72" s="240"/>
      <c r="BE72" s="250"/>
      <c r="BF72" s="240">
        <f t="shared" si="124"/>
        <v>4.75</v>
      </c>
      <c r="BG72" s="240">
        <f t="shared" si="112"/>
        <v>1.25</v>
      </c>
      <c r="BH72" s="240">
        <f t="shared" si="82"/>
        <v>6.25</v>
      </c>
      <c r="BI72" s="240">
        <f t="shared" si="113"/>
        <v>4.75</v>
      </c>
      <c r="BJ72" s="240">
        <f t="shared" si="114"/>
        <v>17</v>
      </c>
      <c r="BK72" s="240">
        <f t="shared" si="125"/>
        <v>1.4677499999999999</v>
      </c>
      <c r="BL72" s="240">
        <f t="shared" si="115"/>
        <v>0.38624999999999998</v>
      </c>
      <c r="BM72" s="240">
        <f t="shared" si="116"/>
        <v>1.9312499999999999</v>
      </c>
      <c r="BN72" s="240">
        <f t="shared" si="117"/>
        <v>1.4677499999999999</v>
      </c>
      <c r="BO72" s="240">
        <f t="shared" si="118"/>
        <v>5.2529999999999992</v>
      </c>
      <c r="BP72" s="240">
        <f t="shared" si="119"/>
        <v>6.2177499999999997</v>
      </c>
      <c r="BQ72" s="240">
        <f t="shared" si="120"/>
        <v>1.63625</v>
      </c>
      <c r="BR72" s="240">
        <f t="shared" si="121"/>
        <v>8.1812500000000004</v>
      </c>
      <c r="BS72" s="240">
        <f t="shared" si="122"/>
        <v>6.2177499999999997</v>
      </c>
      <c r="BT72" s="240">
        <f t="shared" si="123"/>
        <v>22.252999999999997</v>
      </c>
    </row>
    <row r="73" spans="1:72" ht="24" customHeight="1" x14ac:dyDescent="0.2">
      <c r="A73" s="227" t="s">
        <v>916</v>
      </c>
      <c r="B73" s="228" t="s">
        <v>917</v>
      </c>
      <c r="C73" s="229" t="s">
        <v>966</v>
      </c>
      <c r="D73" s="314" t="s">
        <v>967</v>
      </c>
      <c r="E73" s="231">
        <v>0.5</v>
      </c>
      <c r="F73" s="231" t="s">
        <v>923</v>
      </c>
      <c r="G73" s="219">
        <v>2</v>
      </c>
      <c r="H73" s="275">
        <v>1.1100000000000001</v>
      </c>
      <c r="I73" s="238">
        <v>9100</v>
      </c>
      <c r="J73" s="238">
        <f t="shared" si="98"/>
        <v>10101</v>
      </c>
      <c r="K73" s="275"/>
      <c r="L73" s="238"/>
      <c r="M73" s="232"/>
      <c r="N73" s="238"/>
      <c r="O73" s="232"/>
      <c r="P73" s="238"/>
      <c r="Q73" s="246">
        <v>25</v>
      </c>
      <c r="R73" s="238">
        <f t="shared" si="99"/>
        <v>2525.25</v>
      </c>
      <c r="S73" s="238">
        <f t="shared" si="100"/>
        <v>10101</v>
      </c>
      <c r="T73" s="238">
        <f t="shared" si="101"/>
        <v>10101</v>
      </c>
      <c r="U73" s="238">
        <f>ROUND((J73+L73+N73+P73+R73+S73+T73)*E73, 2)</f>
        <v>16414.13</v>
      </c>
      <c r="V73" s="238">
        <f>U73</f>
        <v>16414.13</v>
      </c>
      <c r="W73" s="238"/>
      <c r="X73" s="238"/>
      <c r="Y73" s="301"/>
      <c r="Z73" s="256"/>
      <c r="AA73" s="256"/>
      <c r="AB73" s="234">
        <f t="shared" si="126"/>
        <v>1.3678441666666667</v>
      </c>
      <c r="AC73" s="240">
        <f t="shared" si="127"/>
        <v>17.781974166666668</v>
      </c>
      <c r="AD73" s="240">
        <f t="shared" si="128"/>
        <v>17.781974166666668</v>
      </c>
      <c r="AE73" s="240">
        <f t="shared" si="129"/>
        <v>17.781974166666668</v>
      </c>
      <c r="AF73" s="240">
        <f t="shared" si="130"/>
        <v>17.781974166666668</v>
      </c>
      <c r="AG73" s="240">
        <f t="shared" si="131"/>
        <v>17.781974166666668</v>
      </c>
      <c r="AH73" s="240">
        <f t="shared" si="132"/>
        <v>17.781974166666668</v>
      </c>
      <c r="AI73" s="240">
        <f t="shared" si="133"/>
        <v>17.781974166666668</v>
      </c>
      <c r="AJ73" s="240">
        <f t="shared" si="134"/>
        <v>17.781974166666668</v>
      </c>
      <c r="AK73" s="240">
        <f t="shared" si="135"/>
        <v>17.781974166666668</v>
      </c>
      <c r="AL73" s="240">
        <f t="shared" si="136"/>
        <v>17.781974166666668</v>
      </c>
      <c r="AM73" s="240">
        <f t="shared" si="137"/>
        <v>17.781974166666668</v>
      </c>
      <c r="AN73" s="240">
        <f t="shared" si="138"/>
        <v>17.781974166666668</v>
      </c>
      <c r="AO73" s="240">
        <f t="shared" si="102"/>
        <v>53.3459225</v>
      </c>
      <c r="AP73" s="240">
        <f t="shared" si="103"/>
        <v>53.3459225</v>
      </c>
      <c r="AQ73" s="240">
        <f t="shared" si="104"/>
        <v>53.3459225</v>
      </c>
      <c r="AR73" s="240">
        <f t="shared" si="105"/>
        <v>53.3459225</v>
      </c>
      <c r="AS73" s="240">
        <f t="shared" si="106"/>
        <v>213.38369</v>
      </c>
      <c r="AT73" s="240">
        <f t="shared" si="107"/>
        <v>16.483890052500001</v>
      </c>
      <c r="AU73" s="240">
        <f t="shared" si="108"/>
        <v>16.483890052500001</v>
      </c>
      <c r="AV73" s="240">
        <f t="shared" si="109"/>
        <v>16.483890052500001</v>
      </c>
      <c r="AW73" s="240">
        <f t="shared" si="110"/>
        <v>16.483890052500001</v>
      </c>
      <c r="AX73" s="240">
        <f t="shared" si="111"/>
        <v>65.935560210000006</v>
      </c>
      <c r="AY73" s="224"/>
      <c r="AZ73" s="224"/>
      <c r="BA73" s="225"/>
      <c r="BB73" s="224"/>
      <c r="BC73" s="240"/>
      <c r="BD73" s="240"/>
      <c r="BE73" s="250"/>
      <c r="BF73" s="240">
        <f t="shared" si="124"/>
        <v>0</v>
      </c>
      <c r="BG73" s="240">
        <f t="shared" si="112"/>
        <v>0</v>
      </c>
      <c r="BH73" s="240">
        <f t="shared" si="82"/>
        <v>0</v>
      </c>
      <c r="BI73" s="240">
        <f t="shared" si="113"/>
        <v>0</v>
      </c>
      <c r="BJ73" s="240">
        <f t="shared" si="114"/>
        <v>0</v>
      </c>
      <c r="BK73" s="240">
        <f t="shared" si="125"/>
        <v>0</v>
      </c>
      <c r="BL73" s="240">
        <f t="shared" si="115"/>
        <v>0</v>
      </c>
      <c r="BM73" s="240">
        <f t="shared" si="116"/>
        <v>0</v>
      </c>
      <c r="BN73" s="240">
        <f t="shared" si="117"/>
        <v>0</v>
      </c>
      <c r="BO73" s="240">
        <f t="shared" si="118"/>
        <v>0</v>
      </c>
      <c r="BP73" s="240">
        <f t="shared" si="119"/>
        <v>0</v>
      </c>
      <c r="BQ73" s="240">
        <f t="shared" si="120"/>
        <v>0</v>
      </c>
      <c r="BR73" s="240">
        <f t="shared" si="121"/>
        <v>0</v>
      </c>
      <c r="BS73" s="240">
        <f t="shared" si="122"/>
        <v>0</v>
      </c>
      <c r="BT73" s="240">
        <f t="shared" si="123"/>
        <v>0</v>
      </c>
    </row>
    <row r="74" spans="1:72" ht="17.25" customHeight="1" x14ac:dyDescent="0.2">
      <c r="A74" s="227" t="s">
        <v>916</v>
      </c>
      <c r="B74" s="228" t="s">
        <v>917</v>
      </c>
      <c r="C74" s="229" t="s">
        <v>968</v>
      </c>
      <c r="D74" s="227" t="s">
        <v>969</v>
      </c>
      <c r="E74" s="231">
        <v>1</v>
      </c>
      <c r="F74" s="231" t="s">
        <v>923</v>
      </c>
      <c r="G74" s="219">
        <v>2</v>
      </c>
      <c r="H74" s="275">
        <v>1.1100000000000001</v>
      </c>
      <c r="I74" s="238">
        <v>9100</v>
      </c>
      <c r="J74" s="238">
        <f t="shared" si="98"/>
        <v>10101</v>
      </c>
      <c r="K74" s="275"/>
      <c r="L74" s="238"/>
      <c r="M74" s="232"/>
      <c r="N74" s="238"/>
      <c r="O74" s="232">
        <v>40</v>
      </c>
      <c r="P74" s="238">
        <v>1346.8</v>
      </c>
      <c r="Q74" s="246">
        <v>20</v>
      </c>
      <c r="R74" s="238">
        <f t="shared" si="99"/>
        <v>2289.56</v>
      </c>
      <c r="S74" s="238">
        <f t="shared" si="100"/>
        <v>10989.89</v>
      </c>
      <c r="T74" s="238">
        <f t="shared" si="101"/>
        <v>10989.89</v>
      </c>
      <c r="U74" s="238">
        <f t="shared" ref="U74:U84" si="139">ROUND((J74+L74+N74+P74+R74+S74+T74)*E74/E74, 2)</f>
        <v>35717.14</v>
      </c>
      <c r="V74" s="238">
        <f t="shared" ref="V74:V84" si="140">U74*E74</f>
        <v>35717.14</v>
      </c>
      <c r="W74" s="238"/>
      <c r="X74" s="238"/>
      <c r="Y74" s="301"/>
      <c r="Z74" s="256"/>
      <c r="AA74" s="256"/>
      <c r="AB74" s="234">
        <f t="shared" si="126"/>
        <v>2.9764283333333332</v>
      </c>
      <c r="AC74" s="240">
        <f t="shared" si="127"/>
        <v>38.693568333333332</v>
      </c>
      <c r="AD74" s="240">
        <f t="shared" si="128"/>
        <v>38.693568333333332</v>
      </c>
      <c r="AE74" s="240">
        <f t="shared" si="129"/>
        <v>38.693568333333332</v>
      </c>
      <c r="AF74" s="240">
        <f t="shared" si="130"/>
        <v>38.693568333333332</v>
      </c>
      <c r="AG74" s="240">
        <f t="shared" si="131"/>
        <v>38.693568333333332</v>
      </c>
      <c r="AH74" s="240">
        <f t="shared" si="132"/>
        <v>38.693568333333332</v>
      </c>
      <c r="AI74" s="240">
        <f t="shared" si="133"/>
        <v>38.693568333333332</v>
      </c>
      <c r="AJ74" s="240">
        <f t="shared" si="134"/>
        <v>38.693568333333332</v>
      </c>
      <c r="AK74" s="240">
        <f t="shared" si="135"/>
        <v>38.693568333333332</v>
      </c>
      <c r="AL74" s="240">
        <f t="shared" si="136"/>
        <v>38.693568333333332</v>
      </c>
      <c r="AM74" s="240">
        <f t="shared" si="137"/>
        <v>38.693568333333332</v>
      </c>
      <c r="AN74" s="240">
        <f t="shared" si="138"/>
        <v>38.693568333333332</v>
      </c>
      <c r="AO74" s="240">
        <f t="shared" si="102"/>
        <v>116.08070499999999</v>
      </c>
      <c r="AP74" s="240">
        <f t="shared" si="103"/>
        <v>116.08070499999999</v>
      </c>
      <c r="AQ74" s="240">
        <f t="shared" si="104"/>
        <v>116.08070499999999</v>
      </c>
      <c r="AR74" s="240">
        <f t="shared" si="105"/>
        <v>116.08070499999999</v>
      </c>
      <c r="AS74" s="240">
        <f t="shared" si="106"/>
        <v>464.32281999999998</v>
      </c>
      <c r="AT74" s="240">
        <f t="shared" si="107"/>
        <v>35.868937844999998</v>
      </c>
      <c r="AU74" s="240">
        <f t="shared" si="108"/>
        <v>35.868937844999998</v>
      </c>
      <c r="AV74" s="240">
        <f t="shared" si="109"/>
        <v>35.868937844999998</v>
      </c>
      <c r="AW74" s="240">
        <f t="shared" si="110"/>
        <v>35.868937844999998</v>
      </c>
      <c r="AX74" s="240">
        <f t="shared" si="111"/>
        <v>143.47575137999999</v>
      </c>
      <c r="AY74" s="224">
        <f>5000/1000/4</f>
        <v>1.25</v>
      </c>
      <c r="AZ74" s="224">
        <f>3500/1000</f>
        <v>3.5</v>
      </c>
      <c r="BA74" s="225">
        <f>5000/1000</f>
        <v>5</v>
      </c>
      <c r="BB74" s="224">
        <f>3500/1000</f>
        <v>3.5</v>
      </c>
      <c r="BC74" s="240"/>
      <c r="BD74" s="240"/>
      <c r="BE74" s="250"/>
      <c r="BF74" s="240">
        <f t="shared" si="124"/>
        <v>4.75</v>
      </c>
      <c r="BG74" s="240">
        <f t="shared" si="112"/>
        <v>1.25</v>
      </c>
      <c r="BH74" s="240">
        <f t="shared" si="82"/>
        <v>6.25</v>
      </c>
      <c r="BI74" s="240">
        <f t="shared" si="113"/>
        <v>4.75</v>
      </c>
      <c r="BJ74" s="240">
        <f t="shared" si="114"/>
        <v>17</v>
      </c>
      <c r="BK74" s="240">
        <f t="shared" si="125"/>
        <v>1.4677499999999999</v>
      </c>
      <c r="BL74" s="240">
        <f t="shared" si="115"/>
        <v>0.38624999999999998</v>
      </c>
      <c r="BM74" s="240">
        <f t="shared" si="116"/>
        <v>1.9312499999999999</v>
      </c>
      <c r="BN74" s="240">
        <f t="shared" si="117"/>
        <v>1.4677499999999999</v>
      </c>
      <c r="BO74" s="240">
        <f t="shared" si="118"/>
        <v>5.2529999999999992</v>
      </c>
      <c r="BP74" s="240">
        <f t="shared" si="119"/>
        <v>6.2177499999999997</v>
      </c>
      <c r="BQ74" s="240">
        <f t="shared" si="120"/>
        <v>1.63625</v>
      </c>
      <c r="BR74" s="240">
        <f t="shared" si="121"/>
        <v>8.1812500000000004</v>
      </c>
      <c r="BS74" s="240">
        <f t="shared" si="122"/>
        <v>6.2177499999999997</v>
      </c>
      <c r="BT74" s="240">
        <f t="shared" si="123"/>
        <v>22.252999999999997</v>
      </c>
    </row>
    <row r="75" spans="1:72" ht="17.25" customHeight="1" x14ac:dyDescent="0.2">
      <c r="A75" s="227" t="s">
        <v>916</v>
      </c>
      <c r="B75" s="228" t="s">
        <v>917</v>
      </c>
      <c r="C75" s="229" t="s">
        <v>968</v>
      </c>
      <c r="D75" s="227" t="s">
        <v>970</v>
      </c>
      <c r="E75" s="231">
        <v>1</v>
      </c>
      <c r="F75" s="231" t="s">
        <v>923</v>
      </c>
      <c r="G75" s="219">
        <v>2</v>
      </c>
      <c r="H75" s="275">
        <v>1.1100000000000001</v>
      </c>
      <c r="I75" s="238">
        <v>9100</v>
      </c>
      <c r="J75" s="238">
        <f t="shared" si="98"/>
        <v>10101</v>
      </c>
      <c r="K75" s="275"/>
      <c r="L75" s="238"/>
      <c r="M75" s="232"/>
      <c r="N75" s="238"/>
      <c r="O75" s="232">
        <v>40</v>
      </c>
      <c r="P75" s="238">
        <v>1346.8</v>
      </c>
      <c r="Q75" s="246">
        <v>20</v>
      </c>
      <c r="R75" s="238">
        <f t="shared" si="99"/>
        <v>2289.56</v>
      </c>
      <c r="S75" s="238">
        <f t="shared" si="100"/>
        <v>10989.89</v>
      </c>
      <c r="T75" s="238">
        <f t="shared" si="101"/>
        <v>10989.89</v>
      </c>
      <c r="U75" s="238">
        <f t="shared" si="139"/>
        <v>35717.14</v>
      </c>
      <c r="V75" s="238">
        <f t="shared" si="140"/>
        <v>35717.14</v>
      </c>
      <c r="W75" s="238"/>
      <c r="X75" s="238"/>
      <c r="Y75" s="301"/>
      <c r="Z75" s="256"/>
      <c r="AA75" s="256"/>
      <c r="AB75" s="234">
        <f t="shared" si="126"/>
        <v>2.9764283333333332</v>
      </c>
      <c r="AC75" s="240">
        <f t="shared" si="127"/>
        <v>38.693568333333332</v>
      </c>
      <c r="AD75" s="240">
        <f t="shared" si="128"/>
        <v>38.693568333333332</v>
      </c>
      <c r="AE75" s="240">
        <f t="shared" si="129"/>
        <v>38.693568333333332</v>
      </c>
      <c r="AF75" s="240">
        <f t="shared" si="130"/>
        <v>38.693568333333332</v>
      </c>
      <c r="AG75" s="240">
        <f t="shared" si="131"/>
        <v>38.693568333333332</v>
      </c>
      <c r="AH75" s="240">
        <f t="shared" si="132"/>
        <v>38.693568333333332</v>
      </c>
      <c r="AI75" s="240">
        <f t="shared" si="133"/>
        <v>38.693568333333332</v>
      </c>
      <c r="AJ75" s="240">
        <f t="shared" si="134"/>
        <v>38.693568333333332</v>
      </c>
      <c r="AK75" s="240">
        <f t="shared" si="135"/>
        <v>38.693568333333332</v>
      </c>
      <c r="AL75" s="240">
        <f t="shared" si="136"/>
        <v>38.693568333333332</v>
      </c>
      <c r="AM75" s="240">
        <f t="shared" si="137"/>
        <v>38.693568333333332</v>
      </c>
      <c r="AN75" s="240">
        <f t="shared" si="138"/>
        <v>38.693568333333332</v>
      </c>
      <c r="AO75" s="240">
        <f t="shared" si="102"/>
        <v>116.08070499999999</v>
      </c>
      <c r="AP75" s="240">
        <f t="shared" si="103"/>
        <v>116.08070499999999</v>
      </c>
      <c r="AQ75" s="240">
        <f t="shared" si="104"/>
        <v>116.08070499999999</v>
      </c>
      <c r="AR75" s="240">
        <f t="shared" si="105"/>
        <v>116.08070499999999</v>
      </c>
      <c r="AS75" s="240">
        <f t="shared" si="106"/>
        <v>464.32281999999998</v>
      </c>
      <c r="AT75" s="240">
        <f t="shared" si="107"/>
        <v>35.868937844999998</v>
      </c>
      <c r="AU75" s="240">
        <f t="shared" si="108"/>
        <v>35.868937844999998</v>
      </c>
      <c r="AV75" s="240">
        <f t="shared" si="109"/>
        <v>35.868937844999998</v>
      </c>
      <c r="AW75" s="240">
        <f t="shared" si="110"/>
        <v>35.868937844999998</v>
      </c>
      <c r="AX75" s="240">
        <f t="shared" si="111"/>
        <v>143.47575137999999</v>
      </c>
      <c r="AY75" s="224">
        <f>5000/1000/4</f>
        <v>1.25</v>
      </c>
      <c r="AZ75" s="224">
        <f>3500/1000</f>
        <v>3.5</v>
      </c>
      <c r="BA75" s="225">
        <f>5000/1000</f>
        <v>5</v>
      </c>
      <c r="BB75" s="224">
        <f>3500/1000</f>
        <v>3.5</v>
      </c>
      <c r="BC75" s="240"/>
      <c r="BD75" s="240"/>
      <c r="BE75" s="250"/>
      <c r="BF75" s="240">
        <f t="shared" si="124"/>
        <v>4.75</v>
      </c>
      <c r="BG75" s="240">
        <f t="shared" si="112"/>
        <v>1.25</v>
      </c>
      <c r="BH75" s="240">
        <f t="shared" si="82"/>
        <v>6.25</v>
      </c>
      <c r="BI75" s="240">
        <f t="shared" si="113"/>
        <v>4.75</v>
      </c>
      <c r="BJ75" s="240">
        <f t="shared" si="114"/>
        <v>17</v>
      </c>
      <c r="BK75" s="240">
        <f t="shared" si="125"/>
        <v>1.4677499999999999</v>
      </c>
      <c r="BL75" s="240">
        <f t="shared" si="115"/>
        <v>0.38624999999999998</v>
      </c>
      <c r="BM75" s="240">
        <f t="shared" si="116"/>
        <v>1.9312499999999999</v>
      </c>
      <c r="BN75" s="240">
        <f t="shared" si="117"/>
        <v>1.4677499999999999</v>
      </c>
      <c r="BO75" s="240">
        <f t="shared" si="118"/>
        <v>5.2529999999999992</v>
      </c>
      <c r="BP75" s="240">
        <f t="shared" si="119"/>
        <v>6.2177499999999997</v>
      </c>
      <c r="BQ75" s="240">
        <f t="shared" si="120"/>
        <v>1.63625</v>
      </c>
      <c r="BR75" s="240">
        <f t="shared" si="121"/>
        <v>8.1812500000000004</v>
      </c>
      <c r="BS75" s="240">
        <f t="shared" si="122"/>
        <v>6.2177499999999997</v>
      </c>
      <c r="BT75" s="240">
        <f t="shared" si="123"/>
        <v>22.252999999999997</v>
      </c>
    </row>
    <row r="76" spans="1:72" ht="17.25" customHeight="1" x14ac:dyDescent="0.2">
      <c r="A76" s="227" t="s">
        <v>916</v>
      </c>
      <c r="B76" s="228" t="s">
        <v>917</v>
      </c>
      <c r="C76" s="229" t="s">
        <v>968</v>
      </c>
      <c r="D76" s="227" t="s">
        <v>971</v>
      </c>
      <c r="E76" s="231">
        <v>1</v>
      </c>
      <c r="F76" s="231" t="s">
        <v>923</v>
      </c>
      <c r="G76" s="219">
        <v>2</v>
      </c>
      <c r="H76" s="275">
        <v>1.1100000000000001</v>
      </c>
      <c r="I76" s="238">
        <v>9100</v>
      </c>
      <c r="J76" s="238">
        <f t="shared" si="98"/>
        <v>10101</v>
      </c>
      <c r="K76" s="275"/>
      <c r="L76" s="238"/>
      <c r="M76" s="232"/>
      <c r="N76" s="238"/>
      <c r="O76" s="232">
        <v>40</v>
      </c>
      <c r="P76" s="238">
        <v>1346.8</v>
      </c>
      <c r="Q76" s="246">
        <v>20</v>
      </c>
      <c r="R76" s="238">
        <f t="shared" si="99"/>
        <v>2289.56</v>
      </c>
      <c r="S76" s="238">
        <f t="shared" si="100"/>
        <v>10989.89</v>
      </c>
      <c r="T76" s="238">
        <f t="shared" si="101"/>
        <v>10989.89</v>
      </c>
      <c r="U76" s="238">
        <f t="shared" si="139"/>
        <v>35717.14</v>
      </c>
      <c r="V76" s="238">
        <f t="shared" si="140"/>
        <v>35717.14</v>
      </c>
      <c r="W76" s="238"/>
      <c r="X76" s="238"/>
      <c r="Y76" s="301"/>
      <c r="Z76" s="256"/>
      <c r="AA76" s="256"/>
      <c r="AB76" s="234">
        <f t="shared" si="126"/>
        <v>2.9764283333333332</v>
      </c>
      <c r="AC76" s="240">
        <f t="shared" si="127"/>
        <v>38.693568333333332</v>
      </c>
      <c r="AD76" s="240">
        <f t="shared" si="128"/>
        <v>38.693568333333332</v>
      </c>
      <c r="AE76" s="240">
        <f t="shared" si="129"/>
        <v>38.693568333333332</v>
      </c>
      <c r="AF76" s="240">
        <f t="shared" si="130"/>
        <v>38.693568333333332</v>
      </c>
      <c r="AG76" s="240">
        <f t="shared" si="131"/>
        <v>38.693568333333332</v>
      </c>
      <c r="AH76" s="240">
        <f t="shared" si="132"/>
        <v>38.693568333333332</v>
      </c>
      <c r="AI76" s="240">
        <f t="shared" si="133"/>
        <v>38.693568333333332</v>
      </c>
      <c r="AJ76" s="240">
        <f t="shared" si="134"/>
        <v>38.693568333333332</v>
      </c>
      <c r="AK76" s="240">
        <f t="shared" si="135"/>
        <v>38.693568333333332</v>
      </c>
      <c r="AL76" s="240">
        <f t="shared" si="136"/>
        <v>38.693568333333332</v>
      </c>
      <c r="AM76" s="240">
        <f t="shared" si="137"/>
        <v>38.693568333333332</v>
      </c>
      <c r="AN76" s="240">
        <f t="shared" si="138"/>
        <v>38.693568333333332</v>
      </c>
      <c r="AO76" s="240">
        <f t="shared" si="102"/>
        <v>116.08070499999999</v>
      </c>
      <c r="AP76" s="240">
        <f t="shared" si="103"/>
        <v>116.08070499999999</v>
      </c>
      <c r="AQ76" s="240">
        <f t="shared" si="104"/>
        <v>116.08070499999999</v>
      </c>
      <c r="AR76" s="240">
        <f t="shared" si="105"/>
        <v>116.08070499999999</v>
      </c>
      <c r="AS76" s="240">
        <f t="shared" si="106"/>
        <v>464.32281999999998</v>
      </c>
      <c r="AT76" s="240">
        <f t="shared" si="107"/>
        <v>35.868937844999998</v>
      </c>
      <c r="AU76" s="240">
        <f t="shared" si="108"/>
        <v>35.868937844999998</v>
      </c>
      <c r="AV76" s="240">
        <f t="shared" si="109"/>
        <v>35.868937844999998</v>
      </c>
      <c r="AW76" s="240">
        <f t="shared" si="110"/>
        <v>35.868937844999998</v>
      </c>
      <c r="AX76" s="240">
        <f t="shared" si="111"/>
        <v>143.47575137999999</v>
      </c>
      <c r="AY76" s="224">
        <f>5000/1000/4</f>
        <v>1.25</v>
      </c>
      <c r="AZ76" s="224">
        <f>3500/1000</f>
        <v>3.5</v>
      </c>
      <c r="BA76" s="225">
        <f>5000/1000</f>
        <v>5</v>
      </c>
      <c r="BB76" s="224">
        <f>3500/1000</f>
        <v>3.5</v>
      </c>
      <c r="BC76" s="240"/>
      <c r="BD76" s="240"/>
      <c r="BE76" s="250"/>
      <c r="BF76" s="240">
        <f t="shared" si="124"/>
        <v>4.75</v>
      </c>
      <c r="BG76" s="240">
        <f t="shared" si="112"/>
        <v>1.25</v>
      </c>
      <c r="BH76" s="240">
        <f t="shared" si="82"/>
        <v>6.25</v>
      </c>
      <c r="BI76" s="240">
        <f t="shared" si="113"/>
        <v>4.75</v>
      </c>
      <c r="BJ76" s="240">
        <f t="shared" si="114"/>
        <v>17</v>
      </c>
      <c r="BK76" s="240">
        <f t="shared" si="125"/>
        <v>1.4677499999999999</v>
      </c>
      <c r="BL76" s="240">
        <f t="shared" si="115"/>
        <v>0.38624999999999998</v>
      </c>
      <c r="BM76" s="240">
        <f t="shared" si="116"/>
        <v>1.9312499999999999</v>
      </c>
      <c r="BN76" s="240">
        <f t="shared" si="117"/>
        <v>1.4677499999999999</v>
      </c>
      <c r="BO76" s="240">
        <f t="shared" si="118"/>
        <v>5.2529999999999992</v>
      </c>
      <c r="BP76" s="240">
        <f t="shared" si="119"/>
        <v>6.2177499999999997</v>
      </c>
      <c r="BQ76" s="240">
        <f t="shared" si="120"/>
        <v>1.63625</v>
      </c>
      <c r="BR76" s="240">
        <f t="shared" si="121"/>
        <v>8.1812500000000004</v>
      </c>
      <c r="BS76" s="240">
        <f t="shared" si="122"/>
        <v>6.2177499999999997</v>
      </c>
      <c r="BT76" s="240">
        <f t="shared" si="123"/>
        <v>22.252999999999997</v>
      </c>
    </row>
    <row r="77" spans="1:72" ht="27" customHeight="1" x14ac:dyDescent="0.2">
      <c r="A77" s="227" t="s">
        <v>916</v>
      </c>
      <c r="B77" s="228" t="s">
        <v>917</v>
      </c>
      <c r="C77" s="229" t="s">
        <v>968</v>
      </c>
      <c r="D77" s="227" t="s">
        <v>972</v>
      </c>
      <c r="E77" s="231">
        <v>1</v>
      </c>
      <c r="F77" s="231" t="s">
        <v>923</v>
      </c>
      <c r="G77" s="219">
        <v>2</v>
      </c>
      <c r="H77" s="275">
        <v>1.1100000000000001</v>
      </c>
      <c r="I77" s="238">
        <v>9100</v>
      </c>
      <c r="J77" s="238">
        <f t="shared" si="98"/>
        <v>10101</v>
      </c>
      <c r="K77" s="275"/>
      <c r="L77" s="238"/>
      <c r="M77" s="232"/>
      <c r="N77" s="238"/>
      <c r="O77" s="232">
        <v>40</v>
      </c>
      <c r="P77" s="238">
        <v>1346.8</v>
      </c>
      <c r="Q77" s="246">
        <v>20</v>
      </c>
      <c r="R77" s="238">
        <f t="shared" si="99"/>
        <v>2289.56</v>
      </c>
      <c r="S77" s="238">
        <f t="shared" si="100"/>
        <v>10989.89</v>
      </c>
      <c r="T77" s="238">
        <f t="shared" si="101"/>
        <v>10989.89</v>
      </c>
      <c r="U77" s="238">
        <f t="shared" si="139"/>
        <v>35717.14</v>
      </c>
      <c r="V77" s="238">
        <f t="shared" si="140"/>
        <v>35717.14</v>
      </c>
      <c r="W77" s="238"/>
      <c r="X77" s="238"/>
      <c r="Y77" s="301"/>
      <c r="Z77" s="256"/>
      <c r="AA77" s="256"/>
      <c r="AB77" s="234">
        <f t="shared" si="126"/>
        <v>2.9764283333333332</v>
      </c>
      <c r="AC77" s="240">
        <f t="shared" si="127"/>
        <v>38.693568333333332</v>
      </c>
      <c r="AD77" s="240">
        <f t="shared" si="128"/>
        <v>38.693568333333332</v>
      </c>
      <c r="AE77" s="240">
        <f t="shared" si="129"/>
        <v>38.693568333333332</v>
      </c>
      <c r="AF77" s="240">
        <f t="shared" si="130"/>
        <v>38.693568333333332</v>
      </c>
      <c r="AG77" s="240">
        <f t="shared" si="131"/>
        <v>38.693568333333332</v>
      </c>
      <c r="AH77" s="240">
        <f t="shared" si="132"/>
        <v>38.693568333333332</v>
      </c>
      <c r="AI77" s="240">
        <f t="shared" si="133"/>
        <v>38.693568333333332</v>
      </c>
      <c r="AJ77" s="240">
        <f t="shared" si="134"/>
        <v>38.693568333333332</v>
      </c>
      <c r="AK77" s="240">
        <f t="shared" si="135"/>
        <v>38.693568333333332</v>
      </c>
      <c r="AL77" s="240">
        <f t="shared" si="136"/>
        <v>38.693568333333332</v>
      </c>
      <c r="AM77" s="240">
        <f t="shared" si="137"/>
        <v>38.693568333333332</v>
      </c>
      <c r="AN77" s="240">
        <f t="shared" si="138"/>
        <v>38.693568333333332</v>
      </c>
      <c r="AO77" s="240">
        <f t="shared" si="102"/>
        <v>116.08070499999999</v>
      </c>
      <c r="AP77" s="240">
        <f t="shared" si="103"/>
        <v>116.08070499999999</v>
      </c>
      <c r="AQ77" s="240">
        <f t="shared" si="104"/>
        <v>116.08070499999999</v>
      </c>
      <c r="AR77" s="240">
        <f t="shared" si="105"/>
        <v>116.08070499999999</v>
      </c>
      <c r="AS77" s="240">
        <f t="shared" si="106"/>
        <v>464.32281999999998</v>
      </c>
      <c r="AT77" s="240">
        <f t="shared" si="107"/>
        <v>35.868937844999998</v>
      </c>
      <c r="AU77" s="240">
        <f t="shared" si="108"/>
        <v>35.868937844999998</v>
      </c>
      <c r="AV77" s="240">
        <f t="shared" si="109"/>
        <v>35.868937844999998</v>
      </c>
      <c r="AW77" s="240">
        <f t="shared" si="110"/>
        <v>35.868937844999998</v>
      </c>
      <c r="AX77" s="240">
        <f t="shared" si="111"/>
        <v>143.47575137999999</v>
      </c>
      <c r="AY77" s="224">
        <f>5000/1000/4</f>
        <v>1.25</v>
      </c>
      <c r="AZ77" s="224">
        <f>3500/1000</f>
        <v>3.5</v>
      </c>
      <c r="BA77" s="225">
        <f>5000/1000</f>
        <v>5</v>
      </c>
      <c r="BB77" s="224">
        <f>3500/1000</f>
        <v>3.5</v>
      </c>
      <c r="BC77" s="240"/>
      <c r="BD77" s="240"/>
      <c r="BE77" s="250"/>
      <c r="BF77" s="240">
        <f t="shared" si="124"/>
        <v>4.75</v>
      </c>
      <c r="BG77" s="240">
        <f t="shared" si="112"/>
        <v>1.25</v>
      </c>
      <c r="BH77" s="240">
        <f t="shared" si="82"/>
        <v>6.25</v>
      </c>
      <c r="BI77" s="240">
        <f t="shared" si="113"/>
        <v>4.75</v>
      </c>
      <c r="BJ77" s="240">
        <f t="shared" si="114"/>
        <v>17</v>
      </c>
      <c r="BK77" s="240">
        <f t="shared" si="125"/>
        <v>1.4677499999999999</v>
      </c>
      <c r="BL77" s="240">
        <f t="shared" si="115"/>
        <v>0.38624999999999998</v>
      </c>
      <c r="BM77" s="240">
        <f t="shared" si="116"/>
        <v>1.9312499999999999</v>
      </c>
      <c r="BN77" s="240">
        <f t="shared" si="117"/>
        <v>1.4677499999999999</v>
      </c>
      <c r="BO77" s="240">
        <f t="shared" si="118"/>
        <v>5.2529999999999992</v>
      </c>
      <c r="BP77" s="240">
        <f t="shared" si="119"/>
        <v>6.2177499999999997</v>
      </c>
      <c r="BQ77" s="240">
        <f t="shared" si="120"/>
        <v>1.63625</v>
      </c>
      <c r="BR77" s="240">
        <f t="shared" si="121"/>
        <v>8.1812500000000004</v>
      </c>
      <c r="BS77" s="240">
        <f t="shared" si="122"/>
        <v>6.2177499999999997</v>
      </c>
      <c r="BT77" s="240">
        <f t="shared" si="123"/>
        <v>22.252999999999997</v>
      </c>
    </row>
    <row r="78" spans="1:72" ht="17.25" customHeight="1" x14ac:dyDescent="0.2">
      <c r="A78" s="227" t="s">
        <v>916</v>
      </c>
      <c r="B78" s="228" t="s">
        <v>917</v>
      </c>
      <c r="C78" s="229" t="s">
        <v>968</v>
      </c>
      <c r="D78" s="227" t="s">
        <v>973</v>
      </c>
      <c r="E78" s="231">
        <v>1</v>
      </c>
      <c r="F78" s="231" t="s">
        <v>923</v>
      </c>
      <c r="G78" s="219">
        <v>2</v>
      </c>
      <c r="H78" s="275">
        <v>1.1100000000000001</v>
      </c>
      <c r="I78" s="238">
        <v>9100</v>
      </c>
      <c r="J78" s="238">
        <f t="shared" si="98"/>
        <v>10101</v>
      </c>
      <c r="K78" s="275"/>
      <c r="L78" s="238"/>
      <c r="M78" s="232"/>
      <c r="N78" s="238"/>
      <c r="O78" s="232">
        <v>40</v>
      </c>
      <c r="P78" s="238">
        <v>1346.8</v>
      </c>
      <c r="Q78" s="246">
        <v>20</v>
      </c>
      <c r="R78" s="238">
        <f t="shared" si="99"/>
        <v>2289.56</v>
      </c>
      <c r="S78" s="238">
        <f t="shared" si="100"/>
        <v>10989.89</v>
      </c>
      <c r="T78" s="238">
        <f t="shared" si="101"/>
        <v>10989.89</v>
      </c>
      <c r="U78" s="238">
        <f t="shared" si="139"/>
        <v>35717.14</v>
      </c>
      <c r="V78" s="238">
        <f t="shared" si="140"/>
        <v>35717.14</v>
      </c>
      <c r="W78" s="238"/>
      <c r="X78" s="238"/>
      <c r="Y78" s="301"/>
      <c r="Z78" s="256"/>
      <c r="AA78" s="256"/>
      <c r="AB78" s="234">
        <f t="shared" si="126"/>
        <v>2.9764283333333332</v>
      </c>
      <c r="AC78" s="240">
        <f t="shared" si="127"/>
        <v>38.693568333333332</v>
      </c>
      <c r="AD78" s="240">
        <f t="shared" si="128"/>
        <v>38.693568333333332</v>
      </c>
      <c r="AE78" s="240">
        <f t="shared" si="129"/>
        <v>38.693568333333332</v>
      </c>
      <c r="AF78" s="240">
        <f t="shared" si="130"/>
        <v>38.693568333333332</v>
      </c>
      <c r="AG78" s="240">
        <f t="shared" si="131"/>
        <v>38.693568333333332</v>
      </c>
      <c r="AH78" s="240">
        <f t="shared" si="132"/>
        <v>38.693568333333332</v>
      </c>
      <c r="AI78" s="240">
        <f t="shared" si="133"/>
        <v>38.693568333333332</v>
      </c>
      <c r="AJ78" s="240">
        <f t="shared" si="134"/>
        <v>38.693568333333332</v>
      </c>
      <c r="AK78" s="240">
        <f t="shared" si="135"/>
        <v>38.693568333333332</v>
      </c>
      <c r="AL78" s="240">
        <f t="shared" si="136"/>
        <v>38.693568333333332</v>
      </c>
      <c r="AM78" s="240">
        <f t="shared" si="137"/>
        <v>38.693568333333332</v>
      </c>
      <c r="AN78" s="240">
        <f t="shared" si="138"/>
        <v>38.693568333333332</v>
      </c>
      <c r="AO78" s="240">
        <f t="shared" si="102"/>
        <v>116.08070499999999</v>
      </c>
      <c r="AP78" s="240">
        <f t="shared" si="103"/>
        <v>116.08070499999999</v>
      </c>
      <c r="AQ78" s="240">
        <f t="shared" si="104"/>
        <v>116.08070499999999</v>
      </c>
      <c r="AR78" s="240">
        <f t="shared" si="105"/>
        <v>116.08070499999999</v>
      </c>
      <c r="AS78" s="240">
        <f t="shared" si="106"/>
        <v>464.32281999999998</v>
      </c>
      <c r="AT78" s="240">
        <f t="shared" si="107"/>
        <v>35.868937844999998</v>
      </c>
      <c r="AU78" s="240">
        <f t="shared" si="108"/>
        <v>35.868937844999998</v>
      </c>
      <c r="AV78" s="240">
        <f t="shared" si="109"/>
        <v>35.868937844999998</v>
      </c>
      <c r="AW78" s="240">
        <f t="shared" si="110"/>
        <v>35.868937844999998</v>
      </c>
      <c r="AX78" s="240">
        <f t="shared" si="111"/>
        <v>143.47575137999999</v>
      </c>
      <c r="AY78" s="224">
        <f>5000/1000/4</f>
        <v>1.25</v>
      </c>
      <c r="AZ78" s="224">
        <f>3500/1000</f>
        <v>3.5</v>
      </c>
      <c r="BA78" s="225">
        <f>5000/1000</f>
        <v>5</v>
      </c>
      <c r="BB78" s="224">
        <f>3500/1000</f>
        <v>3.5</v>
      </c>
      <c r="BC78" s="240"/>
      <c r="BD78" s="240"/>
      <c r="BE78" s="250"/>
      <c r="BF78" s="240">
        <f t="shared" si="124"/>
        <v>4.75</v>
      </c>
      <c r="BG78" s="240">
        <f t="shared" si="112"/>
        <v>1.25</v>
      </c>
      <c r="BH78" s="240">
        <f t="shared" si="82"/>
        <v>6.25</v>
      </c>
      <c r="BI78" s="240">
        <f t="shared" si="113"/>
        <v>4.75</v>
      </c>
      <c r="BJ78" s="240">
        <f t="shared" si="114"/>
        <v>17</v>
      </c>
      <c r="BK78" s="240">
        <f t="shared" si="125"/>
        <v>1.4677499999999999</v>
      </c>
      <c r="BL78" s="240">
        <f t="shared" si="115"/>
        <v>0.38624999999999998</v>
      </c>
      <c r="BM78" s="240">
        <f t="shared" si="116"/>
        <v>1.9312499999999999</v>
      </c>
      <c r="BN78" s="240">
        <f t="shared" si="117"/>
        <v>1.4677499999999999</v>
      </c>
      <c r="BO78" s="240">
        <f t="shared" si="118"/>
        <v>5.2529999999999992</v>
      </c>
      <c r="BP78" s="240">
        <f t="shared" si="119"/>
        <v>6.2177499999999997</v>
      </c>
      <c r="BQ78" s="240">
        <f t="shared" si="120"/>
        <v>1.63625</v>
      </c>
      <c r="BR78" s="240">
        <f t="shared" si="121"/>
        <v>8.1812500000000004</v>
      </c>
      <c r="BS78" s="240">
        <f t="shared" si="122"/>
        <v>6.2177499999999997</v>
      </c>
      <c r="BT78" s="240">
        <f t="shared" si="123"/>
        <v>22.252999999999997</v>
      </c>
    </row>
    <row r="79" spans="1:72" ht="27" customHeight="1" x14ac:dyDescent="0.2">
      <c r="A79" s="227" t="s">
        <v>916</v>
      </c>
      <c r="B79" s="228" t="s">
        <v>917</v>
      </c>
      <c r="C79" s="229" t="s">
        <v>968</v>
      </c>
      <c r="D79" s="312" t="s">
        <v>926</v>
      </c>
      <c r="E79" s="231">
        <v>1</v>
      </c>
      <c r="F79" s="231" t="s">
        <v>923</v>
      </c>
      <c r="G79" s="219">
        <v>2</v>
      </c>
      <c r="H79" s="275">
        <v>1.1100000000000001</v>
      </c>
      <c r="I79" s="238">
        <v>9100</v>
      </c>
      <c r="J79" s="238">
        <f t="shared" si="98"/>
        <v>10101</v>
      </c>
      <c r="K79" s="275"/>
      <c r="L79" s="238"/>
      <c r="M79" s="232"/>
      <c r="N79" s="238"/>
      <c r="O79" s="232">
        <v>40</v>
      </c>
      <c r="P79" s="238">
        <v>1346.8</v>
      </c>
      <c r="Q79" s="246">
        <v>20</v>
      </c>
      <c r="R79" s="238">
        <f t="shared" si="99"/>
        <v>2289.56</v>
      </c>
      <c r="S79" s="238">
        <f t="shared" si="100"/>
        <v>10989.89</v>
      </c>
      <c r="T79" s="238">
        <f t="shared" si="101"/>
        <v>10989.89</v>
      </c>
      <c r="U79" s="238">
        <f t="shared" si="139"/>
        <v>35717.14</v>
      </c>
      <c r="V79" s="238">
        <f t="shared" si="140"/>
        <v>35717.14</v>
      </c>
      <c r="W79" s="238"/>
      <c r="X79" s="238"/>
      <c r="Y79" s="301"/>
      <c r="Z79" s="256">
        <f>52/12*6</f>
        <v>26</v>
      </c>
      <c r="AA79" s="256"/>
      <c r="AB79" s="234"/>
      <c r="AC79" s="240"/>
      <c r="AD79" s="240"/>
      <c r="AE79" s="240"/>
      <c r="AF79" s="240">
        <f t="shared" ref="AF79:AF84" si="141">V79/1000</f>
        <v>35.717140000000001</v>
      </c>
      <c r="AG79" s="240">
        <f t="shared" ref="AG79:AG84" si="142">V79/1000</f>
        <v>35.717140000000001</v>
      </c>
      <c r="AH79" s="240">
        <f t="shared" ref="AH79:AH84" si="143">V79/1000</f>
        <v>35.717140000000001</v>
      </c>
      <c r="AI79" s="240">
        <f t="shared" ref="AI79:AI84" si="144">V79/1000</f>
        <v>35.717140000000001</v>
      </c>
      <c r="AJ79" s="240">
        <f t="shared" ref="AJ79:AJ84" si="145">V79/1000</f>
        <v>35.717140000000001</v>
      </c>
      <c r="AK79" s="240">
        <f>V79/1000+(AF79+AG79+AH79+AI79+AJ79+35.72)/6/29.3*26</f>
        <v>67.411953424345853</v>
      </c>
      <c r="AL79" s="240"/>
      <c r="AM79" s="240"/>
      <c r="AN79" s="240"/>
      <c r="AO79" s="240">
        <f t="shared" si="102"/>
        <v>0</v>
      </c>
      <c r="AP79" s="240">
        <f t="shared" si="103"/>
        <v>107.15142</v>
      </c>
      <c r="AQ79" s="240">
        <f t="shared" si="104"/>
        <v>138.84623342434585</v>
      </c>
      <c r="AR79" s="240">
        <f t="shared" si="105"/>
        <v>0</v>
      </c>
      <c r="AS79" s="240">
        <f t="shared" si="106"/>
        <v>245.99765342434586</v>
      </c>
      <c r="AT79" s="240">
        <f t="shared" si="107"/>
        <v>0</v>
      </c>
      <c r="AU79" s="240">
        <f t="shared" si="108"/>
        <v>33.109788780000002</v>
      </c>
      <c r="AV79" s="240">
        <f t="shared" si="109"/>
        <v>42.903486128122871</v>
      </c>
      <c r="AW79" s="240">
        <f t="shared" si="110"/>
        <v>0</v>
      </c>
      <c r="AX79" s="240">
        <f t="shared" si="111"/>
        <v>76.013274908122867</v>
      </c>
      <c r="AY79" s="224"/>
      <c r="AZ79" s="224"/>
      <c r="BA79" s="225"/>
      <c r="BB79" s="224"/>
      <c r="BC79" s="240"/>
      <c r="BD79" s="240"/>
      <c r="BE79" s="250"/>
      <c r="BF79" s="240">
        <f t="shared" si="124"/>
        <v>0</v>
      </c>
      <c r="BG79" s="240">
        <f t="shared" si="112"/>
        <v>0</v>
      </c>
      <c r="BH79" s="240">
        <f t="shared" si="82"/>
        <v>0</v>
      </c>
      <c r="BI79" s="240">
        <f t="shared" si="113"/>
        <v>0</v>
      </c>
      <c r="BJ79" s="240">
        <f t="shared" si="114"/>
        <v>0</v>
      </c>
      <c r="BK79" s="240">
        <f t="shared" si="125"/>
        <v>0</v>
      </c>
      <c r="BL79" s="240">
        <f t="shared" si="115"/>
        <v>0</v>
      </c>
      <c r="BM79" s="240">
        <f t="shared" si="116"/>
        <v>0</v>
      </c>
      <c r="BN79" s="240">
        <f t="shared" si="117"/>
        <v>0</v>
      </c>
      <c r="BO79" s="240">
        <f t="shared" si="118"/>
        <v>0</v>
      </c>
      <c r="BP79" s="240">
        <f t="shared" si="119"/>
        <v>0</v>
      </c>
      <c r="BQ79" s="240">
        <f t="shared" si="120"/>
        <v>0</v>
      </c>
      <c r="BR79" s="240">
        <f t="shared" si="121"/>
        <v>0</v>
      </c>
      <c r="BS79" s="240">
        <f t="shared" si="122"/>
        <v>0</v>
      </c>
      <c r="BT79" s="240">
        <f t="shared" si="123"/>
        <v>0</v>
      </c>
    </row>
    <row r="80" spans="1:72" ht="26.25" customHeight="1" x14ac:dyDescent="0.2">
      <c r="A80" s="227" t="s">
        <v>916</v>
      </c>
      <c r="B80" s="228" t="s">
        <v>917</v>
      </c>
      <c r="C80" s="229" t="s">
        <v>968</v>
      </c>
      <c r="D80" s="312" t="s">
        <v>926</v>
      </c>
      <c r="E80" s="231">
        <v>1</v>
      </c>
      <c r="F80" s="231" t="s">
        <v>923</v>
      </c>
      <c r="G80" s="219">
        <v>2</v>
      </c>
      <c r="H80" s="275">
        <v>1.1100000000000001</v>
      </c>
      <c r="I80" s="238">
        <v>9100</v>
      </c>
      <c r="J80" s="238">
        <f t="shared" si="98"/>
        <v>10101</v>
      </c>
      <c r="K80" s="275"/>
      <c r="L80" s="238"/>
      <c r="M80" s="232"/>
      <c r="N80" s="238"/>
      <c r="O80" s="232">
        <v>40</v>
      </c>
      <c r="P80" s="238">
        <v>1346.8</v>
      </c>
      <c r="Q80" s="246">
        <v>20</v>
      </c>
      <c r="R80" s="238">
        <f t="shared" si="99"/>
        <v>2289.56</v>
      </c>
      <c r="S80" s="238">
        <f t="shared" si="100"/>
        <v>10989.89</v>
      </c>
      <c r="T80" s="238">
        <f t="shared" si="101"/>
        <v>10989.89</v>
      </c>
      <c r="U80" s="238">
        <f t="shared" si="139"/>
        <v>35717.14</v>
      </c>
      <c r="V80" s="238">
        <f t="shared" si="140"/>
        <v>35717.14</v>
      </c>
      <c r="W80" s="238"/>
      <c r="X80" s="238"/>
      <c r="Y80" s="301"/>
      <c r="Z80" s="256">
        <f>52/12*6</f>
        <v>26</v>
      </c>
      <c r="AA80" s="256"/>
      <c r="AB80" s="234"/>
      <c r="AC80" s="240"/>
      <c r="AD80" s="240"/>
      <c r="AE80" s="240"/>
      <c r="AF80" s="240">
        <f t="shared" si="141"/>
        <v>35.717140000000001</v>
      </c>
      <c r="AG80" s="240">
        <f t="shared" si="142"/>
        <v>35.717140000000001</v>
      </c>
      <c r="AH80" s="240">
        <f t="shared" si="143"/>
        <v>35.717140000000001</v>
      </c>
      <c r="AI80" s="240">
        <f t="shared" si="144"/>
        <v>35.717140000000001</v>
      </c>
      <c r="AJ80" s="240">
        <f t="shared" si="145"/>
        <v>35.717140000000001</v>
      </c>
      <c r="AK80" s="240">
        <f>V80/1000+(AF80+AG80+AH80+AI80+AJ80+35.72)/6/29.3*26</f>
        <v>67.411953424345853</v>
      </c>
      <c r="AL80" s="240"/>
      <c r="AM80" s="240"/>
      <c r="AN80" s="240"/>
      <c r="AO80" s="240">
        <f t="shared" si="102"/>
        <v>0</v>
      </c>
      <c r="AP80" s="240">
        <f t="shared" si="103"/>
        <v>107.15142</v>
      </c>
      <c r="AQ80" s="240">
        <f t="shared" si="104"/>
        <v>138.84623342434585</v>
      </c>
      <c r="AR80" s="240">
        <f t="shared" si="105"/>
        <v>0</v>
      </c>
      <c r="AS80" s="240">
        <f t="shared" si="106"/>
        <v>245.99765342434586</v>
      </c>
      <c r="AT80" s="240">
        <f t="shared" si="107"/>
        <v>0</v>
      </c>
      <c r="AU80" s="240">
        <f t="shared" si="108"/>
        <v>33.109788780000002</v>
      </c>
      <c r="AV80" s="240">
        <f t="shared" si="109"/>
        <v>42.903486128122871</v>
      </c>
      <c r="AW80" s="240">
        <f t="shared" si="110"/>
        <v>0</v>
      </c>
      <c r="AX80" s="240">
        <f t="shared" si="111"/>
        <v>76.013274908122867</v>
      </c>
      <c r="AY80" s="224"/>
      <c r="AZ80" s="224"/>
      <c r="BA80" s="225"/>
      <c r="BB80" s="224"/>
      <c r="BC80" s="240"/>
      <c r="BD80" s="240"/>
      <c r="BE80" s="250"/>
      <c r="BF80" s="240">
        <f t="shared" si="124"/>
        <v>0</v>
      </c>
      <c r="BG80" s="240">
        <f t="shared" si="112"/>
        <v>0</v>
      </c>
      <c r="BH80" s="240">
        <f t="shared" si="82"/>
        <v>0</v>
      </c>
      <c r="BI80" s="240">
        <f t="shared" si="113"/>
        <v>0</v>
      </c>
      <c r="BJ80" s="240">
        <f t="shared" si="114"/>
        <v>0</v>
      </c>
      <c r="BK80" s="240">
        <f t="shared" si="125"/>
        <v>0</v>
      </c>
      <c r="BL80" s="240">
        <f t="shared" si="115"/>
        <v>0</v>
      </c>
      <c r="BM80" s="240">
        <f t="shared" si="116"/>
        <v>0</v>
      </c>
      <c r="BN80" s="240">
        <f t="shared" si="117"/>
        <v>0</v>
      </c>
      <c r="BO80" s="240">
        <f t="shared" si="118"/>
        <v>0</v>
      </c>
      <c r="BP80" s="240">
        <f t="shared" si="119"/>
        <v>0</v>
      </c>
      <c r="BQ80" s="240">
        <f t="shared" si="120"/>
        <v>0</v>
      </c>
      <c r="BR80" s="240">
        <f t="shared" si="121"/>
        <v>0</v>
      </c>
      <c r="BS80" s="240">
        <f t="shared" si="122"/>
        <v>0</v>
      </c>
      <c r="BT80" s="240">
        <f t="shared" si="123"/>
        <v>0</v>
      </c>
    </row>
    <row r="81" spans="1:72" ht="26.25" customHeight="1" x14ac:dyDescent="0.2">
      <c r="A81" s="227" t="s">
        <v>916</v>
      </c>
      <c r="B81" s="228" t="s">
        <v>917</v>
      </c>
      <c r="C81" s="229" t="s">
        <v>968</v>
      </c>
      <c r="D81" s="312" t="s">
        <v>926</v>
      </c>
      <c r="E81" s="231">
        <v>1</v>
      </c>
      <c r="F81" s="231" t="s">
        <v>923</v>
      </c>
      <c r="G81" s="219">
        <v>2</v>
      </c>
      <c r="H81" s="275">
        <v>1.1100000000000001</v>
      </c>
      <c r="I81" s="238">
        <v>9100</v>
      </c>
      <c r="J81" s="238">
        <f t="shared" si="98"/>
        <v>10101</v>
      </c>
      <c r="K81" s="275"/>
      <c r="L81" s="238"/>
      <c r="M81" s="232"/>
      <c r="N81" s="238"/>
      <c r="O81" s="232">
        <v>40</v>
      </c>
      <c r="P81" s="238">
        <v>1346.8</v>
      </c>
      <c r="Q81" s="246">
        <v>20</v>
      </c>
      <c r="R81" s="238">
        <f t="shared" si="99"/>
        <v>2289.56</v>
      </c>
      <c r="S81" s="238">
        <f t="shared" si="100"/>
        <v>10989.89</v>
      </c>
      <c r="T81" s="238">
        <f t="shared" si="101"/>
        <v>10989.89</v>
      </c>
      <c r="U81" s="238">
        <f t="shared" si="139"/>
        <v>35717.14</v>
      </c>
      <c r="V81" s="238">
        <f t="shared" si="140"/>
        <v>35717.14</v>
      </c>
      <c r="W81" s="238"/>
      <c r="X81" s="238"/>
      <c r="Y81" s="301"/>
      <c r="Z81" s="256">
        <f>52/12*6</f>
        <v>26</v>
      </c>
      <c r="AA81" s="256"/>
      <c r="AB81" s="234"/>
      <c r="AC81" s="240"/>
      <c r="AD81" s="240"/>
      <c r="AE81" s="240"/>
      <c r="AF81" s="240">
        <f t="shared" si="141"/>
        <v>35.717140000000001</v>
      </c>
      <c r="AG81" s="240">
        <f t="shared" si="142"/>
        <v>35.717140000000001</v>
      </c>
      <c r="AH81" s="240">
        <f t="shared" si="143"/>
        <v>35.717140000000001</v>
      </c>
      <c r="AI81" s="240">
        <f t="shared" si="144"/>
        <v>35.717140000000001</v>
      </c>
      <c r="AJ81" s="240">
        <f t="shared" si="145"/>
        <v>35.717140000000001</v>
      </c>
      <c r="AK81" s="240">
        <f>V81/1000+(AF81+AG81+AH81+AI81+AJ81+35.72)/6/29.3*26</f>
        <v>67.411953424345853</v>
      </c>
      <c r="AL81" s="240"/>
      <c r="AM81" s="240"/>
      <c r="AN81" s="240"/>
      <c r="AO81" s="240">
        <f t="shared" si="102"/>
        <v>0</v>
      </c>
      <c r="AP81" s="240">
        <f t="shared" si="103"/>
        <v>107.15142</v>
      </c>
      <c r="AQ81" s="240">
        <f t="shared" si="104"/>
        <v>138.84623342434585</v>
      </c>
      <c r="AR81" s="240">
        <f t="shared" si="105"/>
        <v>0</v>
      </c>
      <c r="AS81" s="240">
        <f t="shared" si="106"/>
        <v>245.99765342434586</v>
      </c>
      <c r="AT81" s="240">
        <f t="shared" si="107"/>
        <v>0</v>
      </c>
      <c r="AU81" s="240">
        <f t="shared" si="108"/>
        <v>33.109788780000002</v>
      </c>
      <c r="AV81" s="240">
        <f t="shared" si="109"/>
        <v>42.903486128122871</v>
      </c>
      <c r="AW81" s="240">
        <f t="shared" si="110"/>
        <v>0</v>
      </c>
      <c r="AX81" s="240">
        <f t="shared" si="111"/>
        <v>76.013274908122867</v>
      </c>
      <c r="AY81" s="224"/>
      <c r="AZ81" s="224"/>
      <c r="BA81" s="225"/>
      <c r="BB81" s="224"/>
      <c r="BC81" s="240"/>
      <c r="BD81" s="240"/>
      <c r="BE81" s="250"/>
      <c r="BF81" s="240">
        <f t="shared" si="124"/>
        <v>0</v>
      </c>
      <c r="BG81" s="240">
        <f t="shared" si="112"/>
        <v>0</v>
      </c>
      <c r="BH81" s="240">
        <f t="shared" si="82"/>
        <v>0</v>
      </c>
      <c r="BI81" s="240">
        <f t="shared" si="113"/>
        <v>0</v>
      </c>
      <c r="BJ81" s="240">
        <f t="shared" si="114"/>
        <v>0</v>
      </c>
      <c r="BK81" s="240">
        <f t="shared" si="125"/>
        <v>0</v>
      </c>
      <c r="BL81" s="240">
        <f t="shared" si="115"/>
        <v>0</v>
      </c>
      <c r="BM81" s="240">
        <f t="shared" si="116"/>
        <v>0</v>
      </c>
      <c r="BN81" s="240">
        <f t="shared" si="117"/>
        <v>0</v>
      </c>
      <c r="BO81" s="240">
        <f t="shared" si="118"/>
        <v>0</v>
      </c>
      <c r="BP81" s="240">
        <f t="shared" si="119"/>
        <v>0</v>
      </c>
      <c r="BQ81" s="240">
        <f t="shared" si="120"/>
        <v>0</v>
      </c>
      <c r="BR81" s="240">
        <f t="shared" si="121"/>
        <v>0</v>
      </c>
      <c r="BS81" s="240">
        <f t="shared" si="122"/>
        <v>0</v>
      </c>
      <c r="BT81" s="240">
        <f t="shared" si="123"/>
        <v>0</v>
      </c>
    </row>
    <row r="82" spans="1:72" ht="26.25" customHeight="1" x14ac:dyDescent="0.2">
      <c r="A82" s="227" t="s">
        <v>916</v>
      </c>
      <c r="B82" s="228" t="s">
        <v>917</v>
      </c>
      <c r="C82" s="229" t="s">
        <v>968</v>
      </c>
      <c r="D82" s="312" t="s">
        <v>926</v>
      </c>
      <c r="E82" s="231">
        <v>1</v>
      </c>
      <c r="F82" s="231" t="s">
        <v>923</v>
      </c>
      <c r="G82" s="219">
        <v>2</v>
      </c>
      <c r="H82" s="275">
        <v>1.1100000000000001</v>
      </c>
      <c r="I82" s="238">
        <v>9100</v>
      </c>
      <c r="J82" s="238">
        <f t="shared" si="98"/>
        <v>10101</v>
      </c>
      <c r="K82" s="275"/>
      <c r="L82" s="238"/>
      <c r="M82" s="232"/>
      <c r="N82" s="238"/>
      <c r="O82" s="232">
        <v>40</v>
      </c>
      <c r="P82" s="238">
        <v>1346.8</v>
      </c>
      <c r="Q82" s="246">
        <v>20</v>
      </c>
      <c r="R82" s="238">
        <f t="shared" si="99"/>
        <v>2289.56</v>
      </c>
      <c r="S82" s="238">
        <f t="shared" si="100"/>
        <v>10989.89</v>
      </c>
      <c r="T82" s="238">
        <f t="shared" si="101"/>
        <v>10989.89</v>
      </c>
      <c r="U82" s="238">
        <f t="shared" si="139"/>
        <v>35717.14</v>
      </c>
      <c r="V82" s="238">
        <f t="shared" si="140"/>
        <v>35717.14</v>
      </c>
      <c r="W82" s="238"/>
      <c r="X82" s="238"/>
      <c r="Y82" s="301"/>
      <c r="Z82" s="256">
        <f>52/12*6</f>
        <v>26</v>
      </c>
      <c r="AA82" s="256"/>
      <c r="AB82" s="234"/>
      <c r="AC82" s="240"/>
      <c r="AD82" s="240"/>
      <c r="AE82" s="240"/>
      <c r="AF82" s="240">
        <f t="shared" si="141"/>
        <v>35.717140000000001</v>
      </c>
      <c r="AG82" s="240">
        <f t="shared" si="142"/>
        <v>35.717140000000001</v>
      </c>
      <c r="AH82" s="240">
        <f t="shared" si="143"/>
        <v>35.717140000000001</v>
      </c>
      <c r="AI82" s="240">
        <f t="shared" si="144"/>
        <v>35.717140000000001</v>
      </c>
      <c r="AJ82" s="240">
        <f t="shared" si="145"/>
        <v>35.717140000000001</v>
      </c>
      <c r="AK82" s="240">
        <f>V82/1000+(AF82+AG82+AH82+AI82+AJ82+35.72)/6/29.3*26</f>
        <v>67.411953424345853</v>
      </c>
      <c r="AL82" s="240"/>
      <c r="AM82" s="240"/>
      <c r="AN82" s="240"/>
      <c r="AO82" s="240">
        <f t="shared" si="102"/>
        <v>0</v>
      </c>
      <c r="AP82" s="240">
        <f t="shared" si="103"/>
        <v>107.15142</v>
      </c>
      <c r="AQ82" s="240">
        <f t="shared" si="104"/>
        <v>138.84623342434585</v>
      </c>
      <c r="AR82" s="240">
        <f t="shared" si="105"/>
        <v>0</v>
      </c>
      <c r="AS82" s="240">
        <f t="shared" si="106"/>
        <v>245.99765342434586</v>
      </c>
      <c r="AT82" s="240">
        <f t="shared" si="107"/>
        <v>0</v>
      </c>
      <c r="AU82" s="240">
        <f t="shared" si="108"/>
        <v>33.109788780000002</v>
      </c>
      <c r="AV82" s="240">
        <f t="shared" si="109"/>
        <v>42.903486128122871</v>
      </c>
      <c r="AW82" s="240">
        <f t="shared" si="110"/>
        <v>0</v>
      </c>
      <c r="AX82" s="240">
        <f t="shared" si="111"/>
        <v>76.013274908122867</v>
      </c>
      <c r="AY82" s="224"/>
      <c r="AZ82" s="224"/>
      <c r="BA82" s="225"/>
      <c r="BB82" s="224"/>
      <c r="BC82" s="240"/>
      <c r="BD82" s="240"/>
      <c r="BE82" s="250"/>
      <c r="BF82" s="240">
        <f t="shared" si="124"/>
        <v>0</v>
      </c>
      <c r="BG82" s="240">
        <f t="shared" si="112"/>
        <v>0</v>
      </c>
      <c r="BH82" s="240">
        <f t="shared" si="82"/>
        <v>0</v>
      </c>
      <c r="BI82" s="240">
        <f t="shared" si="113"/>
        <v>0</v>
      </c>
      <c r="BJ82" s="240">
        <f t="shared" si="114"/>
        <v>0</v>
      </c>
      <c r="BK82" s="240">
        <f t="shared" si="125"/>
        <v>0</v>
      </c>
      <c r="BL82" s="240">
        <f t="shared" si="115"/>
        <v>0</v>
      </c>
      <c r="BM82" s="240">
        <f t="shared" si="116"/>
        <v>0</v>
      </c>
      <c r="BN82" s="240">
        <f t="shared" si="117"/>
        <v>0</v>
      </c>
      <c r="BO82" s="240">
        <f t="shared" si="118"/>
        <v>0</v>
      </c>
      <c r="BP82" s="240">
        <f t="shared" si="119"/>
        <v>0</v>
      </c>
      <c r="BQ82" s="240">
        <f t="shared" si="120"/>
        <v>0</v>
      </c>
      <c r="BR82" s="240">
        <f t="shared" si="121"/>
        <v>0</v>
      </c>
      <c r="BS82" s="240">
        <f t="shared" si="122"/>
        <v>0</v>
      </c>
      <c r="BT82" s="240">
        <f t="shared" si="123"/>
        <v>0</v>
      </c>
    </row>
    <row r="83" spans="1:72" ht="26.25" customHeight="1" x14ac:dyDescent="0.2">
      <c r="A83" s="227" t="s">
        <v>916</v>
      </c>
      <c r="B83" s="228" t="s">
        <v>917</v>
      </c>
      <c r="C83" s="229" t="s">
        <v>968</v>
      </c>
      <c r="D83" s="312" t="s">
        <v>926</v>
      </c>
      <c r="E83" s="231">
        <v>1</v>
      </c>
      <c r="F83" s="231" t="s">
        <v>923</v>
      </c>
      <c r="G83" s="219">
        <v>2</v>
      </c>
      <c r="H83" s="275">
        <v>1.1100000000000001</v>
      </c>
      <c r="I83" s="238">
        <v>9100</v>
      </c>
      <c r="J83" s="238">
        <f t="shared" si="98"/>
        <v>10101</v>
      </c>
      <c r="K83" s="275"/>
      <c r="L83" s="238"/>
      <c r="M83" s="232"/>
      <c r="N83" s="238"/>
      <c r="O83" s="232">
        <v>40</v>
      </c>
      <c r="P83" s="238">
        <v>1346.8</v>
      </c>
      <c r="Q83" s="246">
        <v>20</v>
      </c>
      <c r="R83" s="238">
        <f t="shared" si="99"/>
        <v>2289.56</v>
      </c>
      <c r="S83" s="238">
        <f t="shared" si="100"/>
        <v>10989.89</v>
      </c>
      <c r="T83" s="238">
        <f t="shared" si="101"/>
        <v>10989.89</v>
      </c>
      <c r="U83" s="238">
        <f t="shared" si="139"/>
        <v>35717.14</v>
      </c>
      <c r="V83" s="238">
        <f t="shared" si="140"/>
        <v>35717.14</v>
      </c>
      <c r="W83" s="238"/>
      <c r="X83" s="238"/>
      <c r="Y83" s="301"/>
      <c r="Z83" s="256">
        <f>52/12*6</f>
        <v>26</v>
      </c>
      <c r="AA83" s="256"/>
      <c r="AB83" s="234"/>
      <c r="AC83" s="240"/>
      <c r="AD83" s="240"/>
      <c r="AE83" s="240"/>
      <c r="AF83" s="240">
        <f t="shared" si="141"/>
        <v>35.717140000000001</v>
      </c>
      <c r="AG83" s="240">
        <f t="shared" si="142"/>
        <v>35.717140000000001</v>
      </c>
      <c r="AH83" s="240">
        <f t="shared" si="143"/>
        <v>35.717140000000001</v>
      </c>
      <c r="AI83" s="240">
        <f t="shared" si="144"/>
        <v>35.717140000000001</v>
      </c>
      <c r="AJ83" s="240">
        <f t="shared" si="145"/>
        <v>35.717140000000001</v>
      </c>
      <c r="AK83" s="240">
        <f>V83/1000+(AF83+AG83+AH83+AI83+AJ83+35.72)/6/29.3*26</f>
        <v>67.411953424345853</v>
      </c>
      <c r="AL83" s="240"/>
      <c r="AM83" s="240"/>
      <c r="AN83" s="240"/>
      <c r="AO83" s="240">
        <f t="shared" si="102"/>
        <v>0</v>
      </c>
      <c r="AP83" s="240">
        <f t="shared" si="103"/>
        <v>107.15142</v>
      </c>
      <c r="AQ83" s="240">
        <f t="shared" si="104"/>
        <v>138.84623342434585</v>
      </c>
      <c r="AR83" s="240">
        <f t="shared" si="105"/>
        <v>0</v>
      </c>
      <c r="AS83" s="240">
        <f t="shared" si="106"/>
        <v>245.99765342434586</v>
      </c>
      <c r="AT83" s="240">
        <f t="shared" si="107"/>
        <v>0</v>
      </c>
      <c r="AU83" s="240">
        <f t="shared" si="108"/>
        <v>33.109788780000002</v>
      </c>
      <c r="AV83" s="240">
        <f t="shared" si="109"/>
        <v>42.903486128122871</v>
      </c>
      <c r="AW83" s="240">
        <f t="shared" si="110"/>
        <v>0</v>
      </c>
      <c r="AX83" s="240">
        <f t="shared" si="111"/>
        <v>76.013274908122867</v>
      </c>
      <c r="AY83" s="224"/>
      <c r="AZ83" s="224"/>
      <c r="BA83" s="225"/>
      <c r="BB83" s="224"/>
      <c r="BC83" s="240"/>
      <c r="BD83" s="240"/>
      <c r="BE83" s="250"/>
      <c r="BF83" s="240">
        <f t="shared" si="124"/>
        <v>0</v>
      </c>
      <c r="BG83" s="240">
        <f t="shared" si="112"/>
        <v>0</v>
      </c>
      <c r="BH83" s="240">
        <f t="shared" si="82"/>
        <v>0</v>
      </c>
      <c r="BI83" s="240">
        <f t="shared" si="113"/>
        <v>0</v>
      </c>
      <c r="BJ83" s="240">
        <f t="shared" si="114"/>
        <v>0</v>
      </c>
      <c r="BK83" s="240">
        <f t="shared" si="125"/>
        <v>0</v>
      </c>
      <c r="BL83" s="240">
        <f t="shared" si="115"/>
        <v>0</v>
      </c>
      <c r="BM83" s="240">
        <f t="shared" si="116"/>
        <v>0</v>
      </c>
      <c r="BN83" s="240">
        <f t="shared" si="117"/>
        <v>0</v>
      </c>
      <c r="BO83" s="240">
        <f t="shared" si="118"/>
        <v>0</v>
      </c>
      <c r="BP83" s="240">
        <f t="shared" si="119"/>
        <v>0</v>
      </c>
      <c r="BQ83" s="240">
        <f t="shared" si="120"/>
        <v>0</v>
      </c>
      <c r="BR83" s="240">
        <f t="shared" si="121"/>
        <v>0</v>
      </c>
      <c r="BS83" s="240">
        <f t="shared" si="122"/>
        <v>0</v>
      </c>
      <c r="BT83" s="240">
        <f t="shared" si="123"/>
        <v>0</v>
      </c>
    </row>
    <row r="84" spans="1:72" ht="16.5" customHeight="1" x14ac:dyDescent="0.2">
      <c r="A84" s="227" t="s">
        <v>916</v>
      </c>
      <c r="B84" s="228" t="s">
        <v>917</v>
      </c>
      <c r="C84" s="229" t="s">
        <v>913</v>
      </c>
      <c r="D84" s="312" t="s">
        <v>956</v>
      </c>
      <c r="E84" s="231">
        <v>1</v>
      </c>
      <c r="F84" s="231" t="s">
        <v>923</v>
      </c>
      <c r="G84" s="219">
        <v>2</v>
      </c>
      <c r="H84" s="275">
        <v>1.1100000000000001</v>
      </c>
      <c r="I84" s="238">
        <v>9100</v>
      </c>
      <c r="J84" s="238">
        <f t="shared" si="98"/>
        <v>10101</v>
      </c>
      <c r="K84" s="275"/>
      <c r="L84" s="238"/>
      <c r="M84" s="232"/>
      <c r="N84" s="238"/>
      <c r="O84" s="232"/>
      <c r="P84" s="238"/>
      <c r="Q84" s="246">
        <v>15</v>
      </c>
      <c r="R84" s="238">
        <f t="shared" si="99"/>
        <v>1515.15</v>
      </c>
      <c r="S84" s="238">
        <f t="shared" si="100"/>
        <v>9292.92</v>
      </c>
      <c r="T84" s="238">
        <f t="shared" si="101"/>
        <v>9292.92</v>
      </c>
      <c r="U84" s="238">
        <f t="shared" si="139"/>
        <v>30201.99</v>
      </c>
      <c r="V84" s="238">
        <f t="shared" si="140"/>
        <v>30201.99</v>
      </c>
      <c r="W84" s="238"/>
      <c r="X84" s="238"/>
      <c r="Y84" s="315" t="s">
        <v>974</v>
      </c>
      <c r="Z84" s="256">
        <f>52+3</f>
        <v>55</v>
      </c>
      <c r="AA84" s="256"/>
      <c r="AB84" s="234"/>
      <c r="AC84" s="240">
        <f>V84/1000</f>
        <v>30.201990000000002</v>
      </c>
      <c r="AD84" s="240">
        <f>V84/1000</f>
        <v>30.201990000000002</v>
      </c>
      <c r="AE84" s="240">
        <f>V84/1000</f>
        <v>30.201990000000002</v>
      </c>
      <c r="AF84" s="240">
        <f t="shared" si="141"/>
        <v>30.201990000000002</v>
      </c>
      <c r="AG84" s="240">
        <f t="shared" si="142"/>
        <v>30.201990000000002</v>
      </c>
      <c r="AH84" s="240">
        <f t="shared" si="143"/>
        <v>30.201990000000002</v>
      </c>
      <c r="AI84" s="240">
        <f t="shared" si="144"/>
        <v>30.201990000000002</v>
      </c>
      <c r="AJ84" s="240">
        <f t="shared" si="145"/>
        <v>30.201990000000002</v>
      </c>
      <c r="AK84" s="240">
        <f>V84/1000</f>
        <v>30.201990000000002</v>
      </c>
      <c r="AL84" s="240">
        <f>V84/1000</f>
        <v>30.201990000000002</v>
      </c>
      <c r="AM84" s="240">
        <f>V84/1000</f>
        <v>30.201990000000002</v>
      </c>
      <c r="AN84" s="240">
        <f>V84/1000</f>
        <v>30.201990000000002</v>
      </c>
      <c r="AO84" s="240">
        <f t="shared" si="102"/>
        <v>90.605970000000013</v>
      </c>
      <c r="AP84" s="240">
        <f t="shared" si="103"/>
        <v>90.605970000000013</v>
      </c>
      <c r="AQ84" s="240">
        <f t="shared" si="104"/>
        <v>90.605970000000013</v>
      </c>
      <c r="AR84" s="240">
        <f t="shared" si="105"/>
        <v>90.605970000000013</v>
      </c>
      <c r="AS84" s="240">
        <f t="shared" si="106"/>
        <v>362.42388000000005</v>
      </c>
      <c r="AT84" s="240">
        <f t="shared" si="107"/>
        <v>27.997244730000006</v>
      </c>
      <c r="AU84" s="240">
        <f t="shared" si="108"/>
        <v>27.997244730000006</v>
      </c>
      <c r="AV84" s="240">
        <f t="shared" si="109"/>
        <v>27.997244730000006</v>
      </c>
      <c r="AW84" s="240">
        <f t="shared" si="110"/>
        <v>27.997244730000006</v>
      </c>
      <c r="AX84" s="240">
        <f t="shared" si="111"/>
        <v>111.98897892000002</v>
      </c>
      <c r="AY84" s="224"/>
      <c r="AZ84" s="224"/>
      <c r="BA84" s="225"/>
      <c r="BB84" s="224"/>
      <c r="BC84" s="240"/>
      <c r="BD84" s="240"/>
      <c r="BE84" s="250"/>
      <c r="BF84" s="240">
        <f t="shared" si="124"/>
        <v>0</v>
      </c>
      <c r="BG84" s="240">
        <f t="shared" si="112"/>
        <v>0</v>
      </c>
      <c r="BH84" s="240">
        <f t="shared" si="82"/>
        <v>0</v>
      </c>
      <c r="BI84" s="240">
        <f t="shared" si="113"/>
        <v>0</v>
      </c>
      <c r="BJ84" s="240">
        <f t="shared" si="114"/>
        <v>0</v>
      </c>
      <c r="BK84" s="240">
        <f t="shared" si="125"/>
        <v>0</v>
      </c>
      <c r="BL84" s="240">
        <f t="shared" si="115"/>
        <v>0</v>
      </c>
      <c r="BM84" s="240">
        <f t="shared" si="116"/>
        <v>0</v>
      </c>
      <c r="BN84" s="240">
        <f t="shared" si="117"/>
        <v>0</v>
      </c>
      <c r="BO84" s="240">
        <f t="shared" si="118"/>
        <v>0</v>
      </c>
      <c r="BP84" s="240">
        <f t="shared" si="119"/>
        <v>0</v>
      </c>
      <c r="BQ84" s="240">
        <f t="shared" si="120"/>
        <v>0</v>
      </c>
      <c r="BR84" s="240">
        <f t="shared" si="121"/>
        <v>0</v>
      </c>
      <c r="BS84" s="240">
        <f t="shared" si="122"/>
        <v>0</v>
      </c>
      <c r="BT84" s="240">
        <f t="shared" si="123"/>
        <v>0</v>
      </c>
    </row>
    <row r="85" spans="1:72" ht="21" customHeight="1" x14ac:dyDescent="0.2">
      <c r="A85" s="263" t="s">
        <v>916</v>
      </c>
      <c r="B85" s="264"/>
      <c r="C85" s="265" t="s">
        <v>915</v>
      </c>
      <c r="D85" s="265"/>
      <c r="E85" s="266">
        <f>SUM(E26:E84)</f>
        <v>58</v>
      </c>
      <c r="F85" s="266"/>
      <c r="G85" s="266"/>
      <c r="H85" s="266"/>
      <c r="I85" s="267"/>
      <c r="J85" s="267">
        <f>SUM(J26:J84)</f>
        <v>844571</v>
      </c>
      <c r="K85" s="266"/>
      <c r="L85" s="267">
        <f>SUM(L26:L84)</f>
        <v>7232.68</v>
      </c>
      <c r="M85" s="268"/>
      <c r="N85" s="267">
        <f>SUM(N26:N84)</f>
        <v>0</v>
      </c>
      <c r="O85" s="268"/>
      <c r="P85" s="267">
        <f>SUM(P26:P84)</f>
        <v>48800.240000000034</v>
      </c>
      <c r="Q85" s="267"/>
      <c r="R85" s="267">
        <f>SUM(R26:R84)</f>
        <v>251224.05999999982</v>
      </c>
      <c r="S85" s="267">
        <f>SUM(S26:S84)</f>
        <v>921462.41000000085</v>
      </c>
      <c r="T85" s="267">
        <f>SUM(T26:T84)</f>
        <v>921462.41000000085</v>
      </c>
      <c r="U85" s="267">
        <f>SUM(U26:U84)</f>
        <v>2955116.3899999997</v>
      </c>
      <c r="V85" s="267">
        <f>SUM(V26:V84)</f>
        <v>2955116.3899999997</v>
      </c>
      <c r="W85" s="267"/>
      <c r="X85" s="267"/>
      <c r="Y85" s="269"/>
      <c r="Z85" s="270"/>
      <c r="AA85" s="270"/>
      <c r="AB85" s="271"/>
      <c r="AC85" s="272">
        <f t="shared" ref="AC85:BT85" si="146">SUM(AC26:AC84)</f>
        <v>1228.8671691666668</v>
      </c>
      <c r="AD85" s="272">
        <f t="shared" si="146"/>
        <v>1534.035741966667</v>
      </c>
      <c r="AE85" s="272">
        <f t="shared" si="146"/>
        <v>1534.035741966667</v>
      </c>
      <c r="AF85" s="272">
        <f t="shared" si="146"/>
        <v>2911.6399791666668</v>
      </c>
      <c r="AG85" s="272">
        <f t="shared" si="146"/>
        <v>2911.6399791666668</v>
      </c>
      <c r="AH85" s="272">
        <f t="shared" si="146"/>
        <v>3711.6399791666672</v>
      </c>
      <c r="AI85" s="272">
        <f t="shared" si="146"/>
        <v>4111.6399791666663</v>
      </c>
      <c r="AJ85" s="272">
        <f t="shared" si="146"/>
        <v>4111.6399791666663</v>
      </c>
      <c r="AK85" s="272">
        <f t="shared" si="146"/>
        <v>6308.2149884294658</v>
      </c>
      <c r="AL85" s="272">
        <f t="shared" si="146"/>
        <v>1228.8671691666668</v>
      </c>
      <c r="AM85" s="272">
        <f t="shared" si="146"/>
        <v>1228.8671691666668</v>
      </c>
      <c r="AN85" s="272">
        <f t="shared" si="146"/>
        <v>1228.8671691666668</v>
      </c>
      <c r="AO85" s="273">
        <f t="shared" si="146"/>
        <v>4296.9386530999991</v>
      </c>
      <c r="AP85" s="273">
        <f t="shared" si="146"/>
        <v>9534.919937500008</v>
      </c>
      <c r="AQ85" s="273">
        <f t="shared" si="146"/>
        <v>14531.49494676281</v>
      </c>
      <c r="AR85" s="273">
        <f t="shared" si="146"/>
        <v>3686.6015074999996</v>
      </c>
      <c r="AS85" s="273">
        <f t="shared" si="146"/>
        <v>32049.955044862785</v>
      </c>
      <c r="AT85" s="273">
        <f t="shared" si="146"/>
        <v>1327.7540438078993</v>
      </c>
      <c r="AU85" s="273">
        <f t="shared" si="146"/>
        <v>2946.2902606875</v>
      </c>
      <c r="AV85" s="273">
        <f t="shared" si="146"/>
        <v>4490.231938549704</v>
      </c>
      <c r="AW85" s="273">
        <f t="shared" si="146"/>
        <v>1139.1598658174996</v>
      </c>
      <c r="AX85" s="273">
        <f t="shared" si="146"/>
        <v>9903.4361088625974</v>
      </c>
      <c r="AY85" s="273">
        <f t="shared" si="146"/>
        <v>28.75</v>
      </c>
      <c r="AZ85" s="273">
        <f t="shared" si="146"/>
        <v>80.5</v>
      </c>
      <c r="BA85" s="273">
        <f t="shared" si="146"/>
        <v>115</v>
      </c>
      <c r="BB85" s="273">
        <f t="shared" si="146"/>
        <v>80.5</v>
      </c>
      <c r="BC85" s="273">
        <f t="shared" si="146"/>
        <v>30</v>
      </c>
      <c r="BD85" s="273">
        <f t="shared" si="146"/>
        <v>0</v>
      </c>
      <c r="BE85" s="273">
        <f t="shared" si="146"/>
        <v>10</v>
      </c>
      <c r="BF85" s="273">
        <f t="shared" si="146"/>
        <v>119.25</v>
      </c>
      <c r="BG85" s="273">
        <f t="shared" si="146"/>
        <v>28.75</v>
      </c>
      <c r="BH85" s="273">
        <f t="shared" si="146"/>
        <v>173.75</v>
      </c>
      <c r="BI85" s="273">
        <f t="shared" si="146"/>
        <v>109.25</v>
      </c>
      <c r="BJ85" s="273">
        <f t="shared" si="146"/>
        <v>431</v>
      </c>
      <c r="BK85" s="273">
        <f t="shared" si="146"/>
        <v>33.75824999999999</v>
      </c>
      <c r="BL85" s="273">
        <f t="shared" si="146"/>
        <v>8.8837500000000045</v>
      </c>
      <c r="BM85" s="273">
        <f t="shared" si="146"/>
        <v>53.688749999999978</v>
      </c>
      <c r="BN85" s="273">
        <f t="shared" si="146"/>
        <v>33.75824999999999</v>
      </c>
      <c r="BO85" s="273">
        <f t="shared" si="146"/>
        <v>130.089</v>
      </c>
      <c r="BP85" s="273">
        <f t="shared" si="146"/>
        <v>153.00824999999995</v>
      </c>
      <c r="BQ85" s="273">
        <f t="shared" si="146"/>
        <v>37.633749999999992</v>
      </c>
      <c r="BR85" s="273">
        <f t="shared" si="146"/>
        <v>227.43875000000008</v>
      </c>
      <c r="BS85" s="273">
        <f t="shared" si="146"/>
        <v>143.00824999999995</v>
      </c>
      <c r="BT85" s="273">
        <f t="shared" si="146"/>
        <v>561.08899999999983</v>
      </c>
    </row>
    <row r="86" spans="1:72" s="212" customFormat="1" ht="18" customHeight="1" x14ac:dyDescent="0.2">
      <c r="A86" s="243" t="s">
        <v>975</v>
      </c>
      <c r="B86" s="228" t="s">
        <v>976</v>
      </c>
      <c r="C86" s="229" t="s">
        <v>977</v>
      </c>
      <c r="D86" s="248" t="s">
        <v>978</v>
      </c>
      <c r="E86" s="231">
        <v>1</v>
      </c>
      <c r="F86" s="231" t="s">
        <v>920</v>
      </c>
      <c r="G86" s="232">
        <v>10</v>
      </c>
      <c r="H86" s="233">
        <v>2.44</v>
      </c>
      <c r="I86" s="234">
        <v>9100</v>
      </c>
      <c r="J86" s="235">
        <f t="shared" ref="J86:J102" si="147">ROUND(H86*I86, 2)</f>
        <v>22204</v>
      </c>
      <c r="K86" s="275"/>
      <c r="L86" s="238"/>
      <c r="M86" s="245"/>
      <c r="N86" s="238"/>
      <c r="O86" s="245"/>
      <c r="P86" s="238"/>
      <c r="Q86" s="246">
        <v>30</v>
      </c>
      <c r="R86" s="238">
        <f t="shared" ref="R86:R102" si="148">ROUND((J86+L86+N86+P86)*Q86%, 2)</f>
        <v>6661.2</v>
      </c>
      <c r="S86" s="238">
        <f t="shared" ref="S86:S102" si="149">ROUND((J86+L86+N86+P86+R86)*0.8, 2)</f>
        <v>23092.16</v>
      </c>
      <c r="T86" s="238">
        <f t="shared" ref="T86:T102" si="150">ROUND((J86+L86+N86+P86+R86)*0.8, 2)</f>
        <v>23092.16</v>
      </c>
      <c r="U86" s="238">
        <f>ROUND((J86+L86+N86+P86+R86+S86+T86)*E86, 2)</f>
        <v>75049.52</v>
      </c>
      <c r="V86" s="238">
        <f t="shared" ref="V86:V102" si="151">U86*E86</f>
        <v>75049.52</v>
      </c>
      <c r="W86" s="238"/>
      <c r="X86" s="238"/>
      <c r="Y86" s="247"/>
      <c r="Z86" s="219">
        <f>52+10</f>
        <v>62</v>
      </c>
      <c r="AA86" s="219"/>
      <c r="AB86" s="238">
        <f t="shared" ref="AB86:AB102" si="152">V86/12/1000</f>
        <v>6.2541266666666671</v>
      </c>
      <c r="AC86" s="240">
        <f t="shared" ref="AC86:AC102" si="153">V86/1000+AB86</f>
        <v>81.303646666666666</v>
      </c>
      <c r="AD86" s="240">
        <f t="shared" ref="AD86:AD102" si="154">V86/1000+AB86</f>
        <v>81.303646666666666</v>
      </c>
      <c r="AE86" s="240">
        <f t="shared" ref="AE86:AE102" si="155">V86/1000+AB86</f>
        <v>81.303646666666666</v>
      </c>
      <c r="AF86" s="240">
        <f t="shared" ref="AF86:AF102" si="156">V86/1000+AB86</f>
        <v>81.303646666666666</v>
      </c>
      <c r="AG86" s="240">
        <f t="shared" ref="AG86:AG102" si="157">V86/1000+AB86</f>
        <v>81.303646666666666</v>
      </c>
      <c r="AH86" s="240">
        <f t="shared" ref="AH86:AH102" si="158">V86/1000+AB86</f>
        <v>81.303646666666666</v>
      </c>
      <c r="AI86" s="240">
        <f t="shared" ref="AI86:AI102" si="159">V86/1000+AB86</f>
        <v>81.303646666666666</v>
      </c>
      <c r="AJ86" s="240">
        <f t="shared" ref="AJ86:AJ102" si="160">V86/1000+AB86</f>
        <v>81.303646666666666</v>
      </c>
      <c r="AK86" s="240">
        <f t="shared" ref="AK86:AK102" si="161">V86/1000+AB86</f>
        <v>81.303646666666666</v>
      </c>
      <c r="AL86" s="240">
        <f t="shared" ref="AL86:AL102" si="162">V86/1000+AB86</f>
        <v>81.303646666666666</v>
      </c>
      <c r="AM86" s="240">
        <f t="shared" ref="AM86:AM102" si="163">V86/1000+AB86</f>
        <v>81.303646666666666</v>
      </c>
      <c r="AN86" s="240">
        <f t="shared" ref="AN86:AN102" si="164">V86/1000+AB86</f>
        <v>81.303646666666666</v>
      </c>
      <c r="AO86" s="240">
        <f t="shared" ref="AO86:AO102" si="165">SUM(AC86:AE86)</f>
        <v>243.91093999999998</v>
      </c>
      <c r="AP86" s="240">
        <f t="shared" ref="AP86:AP102" si="166">SUM(AF86:AH86)</f>
        <v>243.91093999999998</v>
      </c>
      <c r="AQ86" s="240">
        <f t="shared" ref="AQ86:AQ102" si="167">SUM(AI86:AK86)</f>
        <v>243.91093999999998</v>
      </c>
      <c r="AR86" s="240">
        <f t="shared" ref="AR86:AR102" si="168">SUM(AL86:AN86)</f>
        <v>243.91093999999998</v>
      </c>
      <c r="AS86" s="240">
        <f t="shared" ref="AS86:AS102" si="169">SUM(AO86:AR86)</f>
        <v>975.64375999999993</v>
      </c>
      <c r="AT86" s="240">
        <f t="shared" ref="AT86:AT102" si="170">AO86*0.309</f>
        <v>75.368480460000001</v>
      </c>
      <c r="AU86" s="240">
        <f t="shared" ref="AU86:AU102" si="171">AP86*0.309</f>
        <v>75.368480460000001</v>
      </c>
      <c r="AV86" s="240">
        <f t="shared" ref="AV86:AV102" si="172">AQ86*0.309</f>
        <v>75.368480460000001</v>
      </c>
      <c r="AW86" s="240">
        <f t="shared" ref="AW86:AW102" si="173">AR86*0.309</f>
        <v>75.368480460000001</v>
      </c>
      <c r="AX86" s="240">
        <f t="shared" ref="AX86:AX102" si="174">SUM(AT86:AW86)</f>
        <v>301.47392184</v>
      </c>
      <c r="AY86" s="224">
        <f t="shared" ref="AY86:AY96" si="175">5000/1000/4</f>
        <v>1.25</v>
      </c>
      <c r="AZ86" s="224">
        <f t="shared" ref="AZ86:AZ99" si="176">3500/1000</f>
        <v>3.5</v>
      </c>
      <c r="BA86" s="225">
        <f t="shared" ref="BA86:BA99" si="177">5000/1000</f>
        <v>5</v>
      </c>
      <c r="BB86" s="224">
        <f t="shared" ref="BB86:BB99" si="178">3500/1000</f>
        <v>3.5</v>
      </c>
      <c r="BC86" s="240"/>
      <c r="BD86" s="240"/>
      <c r="BE86" s="241"/>
      <c r="BF86" s="240">
        <f t="shared" ref="BF86:BF102" si="179">AY86+AZ86</f>
        <v>4.75</v>
      </c>
      <c r="BG86" s="240">
        <f t="shared" ref="BG86:BG102" si="180">AY86</f>
        <v>1.25</v>
      </c>
      <c r="BH86" s="240">
        <f t="shared" ref="BH86:BH102" si="181">AY86+BA86</f>
        <v>6.25</v>
      </c>
      <c r="BI86" s="240">
        <f t="shared" ref="BI86:BI102" si="182">AY86+BB86</f>
        <v>4.75</v>
      </c>
      <c r="BJ86" s="240">
        <f t="shared" ref="BJ86:BJ102" si="183">SUM(BF86:BI86)</f>
        <v>17</v>
      </c>
      <c r="BK86" s="240">
        <f t="shared" ref="BK86:BK102" si="184">BF86*0.309</f>
        <v>1.4677499999999999</v>
      </c>
      <c r="BL86" s="240">
        <f t="shared" ref="BL86:BL102" si="185">BG86*0.309</f>
        <v>0.38624999999999998</v>
      </c>
      <c r="BM86" s="240">
        <f t="shared" ref="BM86:BM102" si="186">BH86*0.309</f>
        <v>1.9312499999999999</v>
      </c>
      <c r="BN86" s="240">
        <f t="shared" ref="BN86:BN102" si="187">BI86*0.309</f>
        <v>1.4677499999999999</v>
      </c>
      <c r="BO86" s="240">
        <f t="shared" ref="BO86:BO102" si="188">SUM(BK86:BN86)</f>
        <v>5.2529999999999992</v>
      </c>
      <c r="BP86" s="240">
        <f t="shared" ref="BP86:BP102" si="189">BF86+BK86</f>
        <v>6.2177499999999997</v>
      </c>
      <c r="BQ86" s="240">
        <f t="shared" ref="BQ86:BQ102" si="190">BG86+BL86</f>
        <v>1.63625</v>
      </c>
      <c r="BR86" s="240">
        <f t="shared" ref="BR86:BR102" si="191">BH86+BM86</f>
        <v>8.1812500000000004</v>
      </c>
      <c r="BS86" s="240">
        <f t="shared" ref="BS86:BS102" si="192">BI86+BN86</f>
        <v>6.2177499999999997</v>
      </c>
      <c r="BT86" s="240">
        <f t="shared" ref="BT86:BT102" si="193">SUM(BP86:BS86)</f>
        <v>22.252999999999997</v>
      </c>
    </row>
    <row r="87" spans="1:72" ht="18" customHeight="1" x14ac:dyDescent="0.2">
      <c r="A87" s="243" t="s">
        <v>975</v>
      </c>
      <c r="B87" s="228" t="s">
        <v>976</v>
      </c>
      <c r="C87" s="229" t="s">
        <v>979</v>
      </c>
      <c r="D87" s="248" t="s">
        <v>980</v>
      </c>
      <c r="E87" s="302">
        <v>1</v>
      </c>
      <c r="F87" s="302" t="s">
        <v>920</v>
      </c>
      <c r="G87" s="219">
        <v>5</v>
      </c>
      <c r="H87" s="275">
        <v>1.51</v>
      </c>
      <c r="I87" s="238">
        <v>9100</v>
      </c>
      <c r="J87" s="235">
        <f t="shared" si="147"/>
        <v>13741</v>
      </c>
      <c r="K87" s="275"/>
      <c r="L87" s="238"/>
      <c r="M87" s="245"/>
      <c r="N87" s="238"/>
      <c r="O87" s="232">
        <v>40</v>
      </c>
      <c r="P87" s="238">
        <v>1832.13333333333</v>
      </c>
      <c r="Q87" s="246">
        <v>30</v>
      </c>
      <c r="R87" s="238">
        <f t="shared" si="148"/>
        <v>4671.9399999999996</v>
      </c>
      <c r="S87" s="238">
        <f t="shared" si="149"/>
        <v>16196.06</v>
      </c>
      <c r="T87" s="238">
        <f t="shared" si="150"/>
        <v>16196.06</v>
      </c>
      <c r="U87" s="238">
        <f t="shared" ref="U87:U98" si="194">ROUND((J87+L87+N87+P87+R87+S87+T87)*E87/E87, 2)</f>
        <v>52637.19</v>
      </c>
      <c r="V87" s="238">
        <f t="shared" si="151"/>
        <v>52637.19</v>
      </c>
      <c r="W87" s="238"/>
      <c r="X87" s="238"/>
      <c r="Y87" s="299"/>
      <c r="Z87" s="219"/>
      <c r="AA87" s="219"/>
      <c r="AB87" s="238">
        <f t="shared" si="152"/>
        <v>4.3864324999999997</v>
      </c>
      <c r="AC87" s="240">
        <f t="shared" si="153"/>
        <v>57.023622500000002</v>
      </c>
      <c r="AD87" s="240">
        <f t="shared" si="154"/>
        <v>57.023622500000002</v>
      </c>
      <c r="AE87" s="240">
        <f t="shared" si="155"/>
        <v>57.023622500000002</v>
      </c>
      <c r="AF87" s="240">
        <f t="shared" si="156"/>
        <v>57.023622500000002</v>
      </c>
      <c r="AG87" s="240">
        <f t="shared" si="157"/>
        <v>57.023622500000002</v>
      </c>
      <c r="AH87" s="240">
        <f t="shared" si="158"/>
        <v>57.023622500000002</v>
      </c>
      <c r="AI87" s="240">
        <f t="shared" si="159"/>
        <v>57.023622500000002</v>
      </c>
      <c r="AJ87" s="240">
        <f t="shared" si="160"/>
        <v>57.023622500000002</v>
      </c>
      <c r="AK87" s="240">
        <f t="shared" si="161"/>
        <v>57.023622500000002</v>
      </c>
      <c r="AL87" s="240">
        <f t="shared" si="162"/>
        <v>57.023622500000002</v>
      </c>
      <c r="AM87" s="240">
        <f t="shared" si="163"/>
        <v>57.023622500000002</v>
      </c>
      <c r="AN87" s="240">
        <f t="shared" si="164"/>
        <v>57.023622500000002</v>
      </c>
      <c r="AO87" s="240">
        <f t="shared" si="165"/>
        <v>171.07086750000002</v>
      </c>
      <c r="AP87" s="240">
        <f t="shared" si="166"/>
        <v>171.07086750000002</v>
      </c>
      <c r="AQ87" s="240">
        <f t="shared" si="167"/>
        <v>171.07086750000002</v>
      </c>
      <c r="AR87" s="240">
        <f t="shared" si="168"/>
        <v>171.07086750000002</v>
      </c>
      <c r="AS87" s="240">
        <f t="shared" si="169"/>
        <v>684.28347000000008</v>
      </c>
      <c r="AT87" s="240">
        <f t="shared" si="170"/>
        <v>52.860898057500009</v>
      </c>
      <c r="AU87" s="240">
        <f t="shared" si="171"/>
        <v>52.860898057500009</v>
      </c>
      <c r="AV87" s="240">
        <f t="shared" si="172"/>
        <v>52.860898057500009</v>
      </c>
      <c r="AW87" s="240">
        <f t="shared" si="173"/>
        <v>52.860898057500009</v>
      </c>
      <c r="AX87" s="240">
        <f t="shared" si="174"/>
        <v>211.44359223000004</v>
      </c>
      <c r="AY87" s="224">
        <f t="shared" si="175"/>
        <v>1.25</v>
      </c>
      <c r="AZ87" s="224">
        <f t="shared" si="176"/>
        <v>3.5</v>
      </c>
      <c r="BA87" s="225">
        <f t="shared" si="177"/>
        <v>5</v>
      </c>
      <c r="BB87" s="224">
        <f t="shared" si="178"/>
        <v>3.5</v>
      </c>
      <c r="BC87" s="240"/>
      <c r="BD87" s="240"/>
      <c r="BE87" s="250"/>
      <c r="BF87" s="240">
        <f t="shared" si="179"/>
        <v>4.75</v>
      </c>
      <c r="BG87" s="240">
        <f t="shared" si="180"/>
        <v>1.25</v>
      </c>
      <c r="BH87" s="240">
        <f t="shared" si="181"/>
        <v>6.25</v>
      </c>
      <c r="BI87" s="240">
        <f t="shared" si="182"/>
        <v>4.75</v>
      </c>
      <c r="BJ87" s="240">
        <f t="shared" si="183"/>
        <v>17</v>
      </c>
      <c r="BK87" s="240">
        <f t="shared" si="184"/>
        <v>1.4677499999999999</v>
      </c>
      <c r="BL87" s="240">
        <f t="shared" si="185"/>
        <v>0.38624999999999998</v>
      </c>
      <c r="BM87" s="240">
        <f t="shared" si="186"/>
        <v>1.9312499999999999</v>
      </c>
      <c r="BN87" s="240">
        <f t="shared" si="187"/>
        <v>1.4677499999999999</v>
      </c>
      <c r="BO87" s="240">
        <f t="shared" si="188"/>
        <v>5.2529999999999992</v>
      </c>
      <c r="BP87" s="240">
        <f t="shared" si="189"/>
        <v>6.2177499999999997</v>
      </c>
      <c r="BQ87" s="240">
        <f t="shared" si="190"/>
        <v>1.63625</v>
      </c>
      <c r="BR87" s="240">
        <f t="shared" si="191"/>
        <v>8.1812500000000004</v>
      </c>
      <c r="BS87" s="240">
        <f t="shared" si="192"/>
        <v>6.2177499999999997</v>
      </c>
      <c r="BT87" s="240">
        <f t="shared" si="193"/>
        <v>22.252999999999997</v>
      </c>
    </row>
    <row r="88" spans="1:72" ht="18" customHeight="1" x14ac:dyDescent="0.2">
      <c r="A88" s="243" t="s">
        <v>975</v>
      </c>
      <c r="B88" s="228" t="s">
        <v>976</v>
      </c>
      <c r="C88" s="229" t="s">
        <v>979</v>
      </c>
      <c r="D88" s="248" t="s">
        <v>981</v>
      </c>
      <c r="E88" s="302">
        <v>1</v>
      </c>
      <c r="F88" s="302" t="s">
        <v>920</v>
      </c>
      <c r="G88" s="219">
        <v>5</v>
      </c>
      <c r="H88" s="275">
        <v>1.51</v>
      </c>
      <c r="I88" s="238">
        <v>9100</v>
      </c>
      <c r="J88" s="235">
        <f t="shared" si="147"/>
        <v>13741</v>
      </c>
      <c r="K88" s="275"/>
      <c r="L88" s="238"/>
      <c r="M88" s="245"/>
      <c r="N88" s="238"/>
      <c r="O88" s="232">
        <v>40</v>
      </c>
      <c r="P88" s="238">
        <v>1832.13</v>
      </c>
      <c r="Q88" s="246">
        <v>30</v>
      </c>
      <c r="R88" s="238">
        <f t="shared" si="148"/>
        <v>4671.9399999999996</v>
      </c>
      <c r="S88" s="238">
        <f t="shared" si="149"/>
        <v>16196.06</v>
      </c>
      <c r="T88" s="238">
        <f t="shared" si="150"/>
        <v>16196.06</v>
      </c>
      <c r="U88" s="238">
        <f t="shared" si="194"/>
        <v>52637.19</v>
      </c>
      <c r="V88" s="238">
        <f t="shared" si="151"/>
        <v>52637.19</v>
      </c>
      <c r="W88" s="238"/>
      <c r="X88" s="238"/>
      <c r="Y88" s="299"/>
      <c r="Z88" s="219"/>
      <c r="AA88" s="219"/>
      <c r="AB88" s="238">
        <f t="shared" si="152"/>
        <v>4.3864324999999997</v>
      </c>
      <c r="AC88" s="240">
        <f t="shared" si="153"/>
        <v>57.023622500000002</v>
      </c>
      <c r="AD88" s="240">
        <f t="shared" si="154"/>
        <v>57.023622500000002</v>
      </c>
      <c r="AE88" s="240">
        <f t="shared" si="155"/>
        <v>57.023622500000002</v>
      </c>
      <c r="AF88" s="240">
        <f t="shared" si="156"/>
        <v>57.023622500000002</v>
      </c>
      <c r="AG88" s="240">
        <f t="shared" si="157"/>
        <v>57.023622500000002</v>
      </c>
      <c r="AH88" s="240">
        <f t="shared" si="158"/>
        <v>57.023622500000002</v>
      </c>
      <c r="AI88" s="240">
        <f t="shared" si="159"/>
        <v>57.023622500000002</v>
      </c>
      <c r="AJ88" s="240">
        <f t="shared" si="160"/>
        <v>57.023622500000002</v>
      </c>
      <c r="AK88" s="240">
        <f t="shared" si="161"/>
        <v>57.023622500000002</v>
      </c>
      <c r="AL88" s="240">
        <f t="shared" si="162"/>
        <v>57.023622500000002</v>
      </c>
      <c r="AM88" s="240">
        <f t="shared" si="163"/>
        <v>57.023622500000002</v>
      </c>
      <c r="AN88" s="240">
        <f t="shared" si="164"/>
        <v>57.023622500000002</v>
      </c>
      <c r="AO88" s="240">
        <f t="shared" si="165"/>
        <v>171.07086750000002</v>
      </c>
      <c r="AP88" s="240">
        <f t="shared" si="166"/>
        <v>171.07086750000002</v>
      </c>
      <c r="AQ88" s="240">
        <f t="shared" si="167"/>
        <v>171.07086750000002</v>
      </c>
      <c r="AR88" s="240">
        <f t="shared" si="168"/>
        <v>171.07086750000002</v>
      </c>
      <c r="AS88" s="240">
        <f t="shared" si="169"/>
        <v>684.28347000000008</v>
      </c>
      <c r="AT88" s="240">
        <f t="shared" si="170"/>
        <v>52.860898057500009</v>
      </c>
      <c r="AU88" s="240">
        <f t="shared" si="171"/>
        <v>52.860898057500009</v>
      </c>
      <c r="AV88" s="240">
        <f t="shared" si="172"/>
        <v>52.860898057500009</v>
      </c>
      <c r="AW88" s="240">
        <f t="shared" si="173"/>
        <v>52.860898057500009</v>
      </c>
      <c r="AX88" s="240">
        <f t="shared" si="174"/>
        <v>211.44359223000004</v>
      </c>
      <c r="AY88" s="224">
        <f t="shared" si="175"/>
        <v>1.25</v>
      </c>
      <c r="AZ88" s="224">
        <f t="shared" si="176"/>
        <v>3.5</v>
      </c>
      <c r="BA88" s="225">
        <f t="shared" si="177"/>
        <v>5</v>
      </c>
      <c r="BB88" s="224">
        <f t="shared" si="178"/>
        <v>3.5</v>
      </c>
      <c r="BC88" s="240"/>
      <c r="BD88" s="240"/>
      <c r="BE88" s="250"/>
      <c r="BF88" s="240">
        <f t="shared" si="179"/>
        <v>4.75</v>
      </c>
      <c r="BG88" s="240">
        <f t="shared" si="180"/>
        <v>1.25</v>
      </c>
      <c r="BH88" s="240">
        <f t="shared" si="181"/>
        <v>6.25</v>
      </c>
      <c r="BI88" s="240">
        <f t="shared" si="182"/>
        <v>4.75</v>
      </c>
      <c r="BJ88" s="240">
        <f t="shared" si="183"/>
        <v>17</v>
      </c>
      <c r="BK88" s="240">
        <f t="shared" si="184"/>
        <v>1.4677499999999999</v>
      </c>
      <c r="BL88" s="240">
        <f t="shared" si="185"/>
        <v>0.38624999999999998</v>
      </c>
      <c r="BM88" s="240">
        <f t="shared" si="186"/>
        <v>1.9312499999999999</v>
      </c>
      <c r="BN88" s="240">
        <f t="shared" si="187"/>
        <v>1.4677499999999999</v>
      </c>
      <c r="BO88" s="240">
        <f t="shared" si="188"/>
        <v>5.2529999999999992</v>
      </c>
      <c r="BP88" s="240">
        <f t="shared" si="189"/>
        <v>6.2177499999999997</v>
      </c>
      <c r="BQ88" s="240">
        <f t="shared" si="190"/>
        <v>1.63625</v>
      </c>
      <c r="BR88" s="240">
        <f t="shared" si="191"/>
        <v>8.1812500000000004</v>
      </c>
      <c r="BS88" s="240">
        <f t="shared" si="192"/>
        <v>6.2177499999999997</v>
      </c>
      <c r="BT88" s="240">
        <f t="shared" si="193"/>
        <v>22.252999999999997</v>
      </c>
    </row>
    <row r="89" spans="1:72" ht="18" customHeight="1" x14ac:dyDescent="0.2">
      <c r="A89" s="243" t="s">
        <v>975</v>
      </c>
      <c r="B89" s="228" t="s">
        <v>976</v>
      </c>
      <c r="C89" s="229" t="s">
        <v>979</v>
      </c>
      <c r="D89" s="248" t="s">
        <v>982</v>
      </c>
      <c r="E89" s="302">
        <v>1</v>
      </c>
      <c r="F89" s="302" t="s">
        <v>920</v>
      </c>
      <c r="G89" s="219">
        <v>5</v>
      </c>
      <c r="H89" s="275">
        <v>1.51</v>
      </c>
      <c r="I89" s="238">
        <v>9100</v>
      </c>
      <c r="J89" s="235">
        <f t="shared" si="147"/>
        <v>13741</v>
      </c>
      <c r="K89" s="275"/>
      <c r="L89" s="238"/>
      <c r="M89" s="245"/>
      <c r="N89" s="238"/>
      <c r="O89" s="232">
        <v>40</v>
      </c>
      <c r="P89" s="238">
        <v>1832.13</v>
      </c>
      <c r="Q89" s="246">
        <v>30</v>
      </c>
      <c r="R89" s="238">
        <f t="shared" si="148"/>
        <v>4671.9399999999996</v>
      </c>
      <c r="S89" s="238">
        <f t="shared" si="149"/>
        <v>16196.06</v>
      </c>
      <c r="T89" s="238">
        <f t="shared" si="150"/>
        <v>16196.06</v>
      </c>
      <c r="U89" s="238">
        <f t="shared" si="194"/>
        <v>52637.19</v>
      </c>
      <c r="V89" s="238">
        <f t="shared" si="151"/>
        <v>52637.19</v>
      </c>
      <c r="W89" s="238"/>
      <c r="X89" s="238"/>
      <c r="Y89" s="299"/>
      <c r="Z89" s="219"/>
      <c r="AA89" s="219"/>
      <c r="AB89" s="238">
        <f t="shared" si="152"/>
        <v>4.3864324999999997</v>
      </c>
      <c r="AC89" s="240">
        <f t="shared" si="153"/>
        <v>57.023622500000002</v>
      </c>
      <c r="AD89" s="240">
        <f t="shared" si="154"/>
        <v>57.023622500000002</v>
      </c>
      <c r="AE89" s="240">
        <f t="shared" si="155"/>
        <v>57.023622500000002</v>
      </c>
      <c r="AF89" s="240">
        <f t="shared" si="156"/>
        <v>57.023622500000002</v>
      </c>
      <c r="AG89" s="240">
        <f t="shared" si="157"/>
        <v>57.023622500000002</v>
      </c>
      <c r="AH89" s="240">
        <f t="shared" si="158"/>
        <v>57.023622500000002</v>
      </c>
      <c r="AI89" s="240">
        <f t="shared" si="159"/>
        <v>57.023622500000002</v>
      </c>
      <c r="AJ89" s="240">
        <f t="shared" si="160"/>
        <v>57.023622500000002</v>
      </c>
      <c r="AK89" s="240">
        <f t="shared" si="161"/>
        <v>57.023622500000002</v>
      </c>
      <c r="AL89" s="240">
        <f t="shared" si="162"/>
        <v>57.023622500000002</v>
      </c>
      <c r="AM89" s="240">
        <f t="shared" si="163"/>
        <v>57.023622500000002</v>
      </c>
      <c r="AN89" s="240">
        <f t="shared" si="164"/>
        <v>57.023622500000002</v>
      </c>
      <c r="AO89" s="240">
        <f t="shared" si="165"/>
        <v>171.07086750000002</v>
      </c>
      <c r="AP89" s="240">
        <f t="shared" si="166"/>
        <v>171.07086750000002</v>
      </c>
      <c r="AQ89" s="240">
        <f t="shared" si="167"/>
        <v>171.07086750000002</v>
      </c>
      <c r="AR89" s="240">
        <f t="shared" si="168"/>
        <v>171.07086750000002</v>
      </c>
      <c r="AS89" s="240">
        <f t="shared" si="169"/>
        <v>684.28347000000008</v>
      </c>
      <c r="AT89" s="240">
        <f t="shared" si="170"/>
        <v>52.860898057500009</v>
      </c>
      <c r="AU89" s="240">
        <f t="shared" si="171"/>
        <v>52.860898057500009</v>
      </c>
      <c r="AV89" s="240">
        <f t="shared" si="172"/>
        <v>52.860898057500009</v>
      </c>
      <c r="AW89" s="240">
        <f t="shared" si="173"/>
        <v>52.860898057500009</v>
      </c>
      <c r="AX89" s="240">
        <f t="shared" si="174"/>
        <v>211.44359223000004</v>
      </c>
      <c r="AY89" s="224">
        <f t="shared" si="175"/>
        <v>1.25</v>
      </c>
      <c r="AZ89" s="224">
        <f t="shared" si="176"/>
        <v>3.5</v>
      </c>
      <c r="BA89" s="225">
        <f t="shared" si="177"/>
        <v>5</v>
      </c>
      <c r="BB89" s="224">
        <f t="shared" si="178"/>
        <v>3.5</v>
      </c>
      <c r="BC89" s="240"/>
      <c r="BD89" s="240"/>
      <c r="BE89" s="250"/>
      <c r="BF89" s="240">
        <f t="shared" si="179"/>
        <v>4.75</v>
      </c>
      <c r="BG89" s="240">
        <f t="shared" si="180"/>
        <v>1.25</v>
      </c>
      <c r="BH89" s="240">
        <f t="shared" si="181"/>
        <v>6.25</v>
      </c>
      <c r="BI89" s="240">
        <f t="shared" si="182"/>
        <v>4.75</v>
      </c>
      <c r="BJ89" s="240">
        <f t="shared" si="183"/>
        <v>17</v>
      </c>
      <c r="BK89" s="240">
        <f t="shared" si="184"/>
        <v>1.4677499999999999</v>
      </c>
      <c r="BL89" s="240">
        <f t="shared" si="185"/>
        <v>0.38624999999999998</v>
      </c>
      <c r="BM89" s="240">
        <f t="shared" si="186"/>
        <v>1.9312499999999999</v>
      </c>
      <c r="BN89" s="240">
        <f t="shared" si="187"/>
        <v>1.4677499999999999</v>
      </c>
      <c r="BO89" s="240">
        <f t="shared" si="188"/>
        <v>5.2529999999999992</v>
      </c>
      <c r="BP89" s="240">
        <f t="shared" si="189"/>
        <v>6.2177499999999997</v>
      </c>
      <c r="BQ89" s="240">
        <f t="shared" si="190"/>
        <v>1.63625</v>
      </c>
      <c r="BR89" s="240">
        <f t="shared" si="191"/>
        <v>8.1812500000000004</v>
      </c>
      <c r="BS89" s="240">
        <f t="shared" si="192"/>
        <v>6.2177499999999997</v>
      </c>
      <c r="BT89" s="240">
        <f t="shared" si="193"/>
        <v>22.252999999999997</v>
      </c>
    </row>
    <row r="90" spans="1:72" ht="18" customHeight="1" x14ac:dyDescent="0.2">
      <c r="A90" s="243" t="s">
        <v>975</v>
      </c>
      <c r="B90" s="228" t="s">
        <v>976</v>
      </c>
      <c r="C90" s="229" t="s">
        <v>979</v>
      </c>
      <c r="D90" s="248" t="s">
        <v>983</v>
      </c>
      <c r="E90" s="302">
        <v>1</v>
      </c>
      <c r="F90" s="302" t="s">
        <v>920</v>
      </c>
      <c r="G90" s="219">
        <v>5</v>
      </c>
      <c r="H90" s="275">
        <v>1.51</v>
      </c>
      <c r="I90" s="238">
        <v>9100</v>
      </c>
      <c r="J90" s="235">
        <f t="shared" si="147"/>
        <v>13741</v>
      </c>
      <c r="K90" s="275"/>
      <c r="L90" s="238"/>
      <c r="M90" s="245"/>
      <c r="N90" s="238"/>
      <c r="O90" s="232">
        <v>40</v>
      </c>
      <c r="P90" s="238">
        <v>1832.13</v>
      </c>
      <c r="Q90" s="246">
        <v>30</v>
      </c>
      <c r="R90" s="238">
        <f t="shared" si="148"/>
        <v>4671.9399999999996</v>
      </c>
      <c r="S90" s="238">
        <f t="shared" si="149"/>
        <v>16196.06</v>
      </c>
      <c r="T90" s="238">
        <f t="shared" si="150"/>
        <v>16196.06</v>
      </c>
      <c r="U90" s="238">
        <f t="shared" si="194"/>
        <v>52637.19</v>
      </c>
      <c r="V90" s="238">
        <f t="shared" si="151"/>
        <v>52637.19</v>
      </c>
      <c r="W90" s="238"/>
      <c r="X90" s="238"/>
      <c r="Y90" s="299"/>
      <c r="Z90" s="219"/>
      <c r="AA90" s="219"/>
      <c r="AB90" s="238">
        <f t="shared" si="152"/>
        <v>4.3864324999999997</v>
      </c>
      <c r="AC90" s="240">
        <f t="shared" si="153"/>
        <v>57.023622500000002</v>
      </c>
      <c r="AD90" s="240">
        <f t="shared" si="154"/>
        <v>57.023622500000002</v>
      </c>
      <c r="AE90" s="240">
        <f t="shared" si="155"/>
        <v>57.023622500000002</v>
      </c>
      <c r="AF90" s="240">
        <f t="shared" si="156"/>
        <v>57.023622500000002</v>
      </c>
      <c r="AG90" s="240">
        <f t="shared" si="157"/>
        <v>57.023622500000002</v>
      </c>
      <c r="AH90" s="240">
        <f t="shared" si="158"/>
        <v>57.023622500000002</v>
      </c>
      <c r="AI90" s="240">
        <f t="shared" si="159"/>
        <v>57.023622500000002</v>
      </c>
      <c r="AJ90" s="240">
        <f t="shared" si="160"/>
        <v>57.023622500000002</v>
      </c>
      <c r="AK90" s="240">
        <f t="shared" si="161"/>
        <v>57.023622500000002</v>
      </c>
      <c r="AL90" s="240">
        <f t="shared" si="162"/>
        <v>57.023622500000002</v>
      </c>
      <c r="AM90" s="240">
        <f t="shared" si="163"/>
        <v>57.023622500000002</v>
      </c>
      <c r="AN90" s="240">
        <f t="shared" si="164"/>
        <v>57.023622500000002</v>
      </c>
      <c r="AO90" s="240">
        <f t="shared" si="165"/>
        <v>171.07086750000002</v>
      </c>
      <c r="AP90" s="240">
        <f t="shared" si="166"/>
        <v>171.07086750000002</v>
      </c>
      <c r="AQ90" s="240">
        <f t="shared" si="167"/>
        <v>171.07086750000002</v>
      </c>
      <c r="AR90" s="240">
        <f t="shared" si="168"/>
        <v>171.07086750000002</v>
      </c>
      <c r="AS90" s="240">
        <f t="shared" si="169"/>
        <v>684.28347000000008</v>
      </c>
      <c r="AT90" s="240">
        <f t="shared" si="170"/>
        <v>52.860898057500009</v>
      </c>
      <c r="AU90" s="240">
        <f t="shared" si="171"/>
        <v>52.860898057500009</v>
      </c>
      <c r="AV90" s="240">
        <f t="shared" si="172"/>
        <v>52.860898057500009</v>
      </c>
      <c r="AW90" s="240">
        <f t="shared" si="173"/>
        <v>52.860898057500009</v>
      </c>
      <c r="AX90" s="240">
        <f t="shared" si="174"/>
        <v>211.44359223000004</v>
      </c>
      <c r="AY90" s="224">
        <f t="shared" si="175"/>
        <v>1.25</v>
      </c>
      <c r="AZ90" s="224">
        <f t="shared" si="176"/>
        <v>3.5</v>
      </c>
      <c r="BA90" s="225">
        <f t="shared" si="177"/>
        <v>5</v>
      </c>
      <c r="BB90" s="224">
        <f t="shared" si="178"/>
        <v>3.5</v>
      </c>
      <c r="BC90" s="240"/>
      <c r="BD90" s="240"/>
      <c r="BE90" s="250"/>
      <c r="BF90" s="240">
        <f t="shared" si="179"/>
        <v>4.75</v>
      </c>
      <c r="BG90" s="240">
        <f t="shared" si="180"/>
        <v>1.25</v>
      </c>
      <c r="BH90" s="240">
        <f t="shared" si="181"/>
        <v>6.25</v>
      </c>
      <c r="BI90" s="240">
        <f t="shared" si="182"/>
        <v>4.75</v>
      </c>
      <c r="BJ90" s="240">
        <f t="shared" si="183"/>
        <v>17</v>
      </c>
      <c r="BK90" s="240">
        <f t="shared" si="184"/>
        <v>1.4677499999999999</v>
      </c>
      <c r="BL90" s="240">
        <f t="shared" si="185"/>
        <v>0.38624999999999998</v>
      </c>
      <c r="BM90" s="240">
        <f t="shared" si="186"/>
        <v>1.9312499999999999</v>
      </c>
      <c r="BN90" s="240">
        <f t="shared" si="187"/>
        <v>1.4677499999999999</v>
      </c>
      <c r="BO90" s="240">
        <f t="shared" si="188"/>
        <v>5.2529999999999992</v>
      </c>
      <c r="BP90" s="240">
        <f t="shared" si="189"/>
        <v>6.2177499999999997</v>
      </c>
      <c r="BQ90" s="240">
        <f t="shared" si="190"/>
        <v>1.63625</v>
      </c>
      <c r="BR90" s="240">
        <f t="shared" si="191"/>
        <v>8.1812500000000004</v>
      </c>
      <c r="BS90" s="240">
        <f t="shared" si="192"/>
        <v>6.2177499999999997</v>
      </c>
      <c r="BT90" s="240">
        <f t="shared" si="193"/>
        <v>22.252999999999997</v>
      </c>
    </row>
    <row r="91" spans="1:72" ht="18" customHeight="1" x14ac:dyDescent="0.2">
      <c r="A91" s="243" t="s">
        <v>975</v>
      </c>
      <c r="B91" s="228" t="s">
        <v>976</v>
      </c>
      <c r="C91" s="229" t="s">
        <v>979</v>
      </c>
      <c r="D91" s="248" t="s">
        <v>984</v>
      </c>
      <c r="E91" s="302">
        <v>1</v>
      </c>
      <c r="F91" s="302" t="s">
        <v>920</v>
      </c>
      <c r="G91" s="219">
        <v>5</v>
      </c>
      <c r="H91" s="275">
        <v>1.51</v>
      </c>
      <c r="I91" s="238">
        <v>9100</v>
      </c>
      <c r="J91" s="235">
        <f t="shared" si="147"/>
        <v>13741</v>
      </c>
      <c r="K91" s="275"/>
      <c r="L91" s="238"/>
      <c r="M91" s="245"/>
      <c r="N91" s="238"/>
      <c r="O91" s="232">
        <v>40</v>
      </c>
      <c r="P91" s="238">
        <v>1832.13</v>
      </c>
      <c r="Q91" s="246">
        <v>30</v>
      </c>
      <c r="R91" s="238">
        <f t="shared" si="148"/>
        <v>4671.9399999999996</v>
      </c>
      <c r="S91" s="238">
        <f t="shared" si="149"/>
        <v>16196.06</v>
      </c>
      <c r="T91" s="238">
        <f t="shared" si="150"/>
        <v>16196.06</v>
      </c>
      <c r="U91" s="238">
        <f t="shared" si="194"/>
        <v>52637.19</v>
      </c>
      <c r="V91" s="238">
        <f t="shared" si="151"/>
        <v>52637.19</v>
      </c>
      <c r="W91" s="238"/>
      <c r="X91" s="238"/>
      <c r="Y91" s="299"/>
      <c r="Z91" s="219"/>
      <c r="AA91" s="219"/>
      <c r="AB91" s="238">
        <f t="shared" si="152"/>
        <v>4.3864324999999997</v>
      </c>
      <c r="AC91" s="240">
        <f t="shared" si="153"/>
        <v>57.023622500000002</v>
      </c>
      <c r="AD91" s="240">
        <f t="shared" si="154"/>
        <v>57.023622500000002</v>
      </c>
      <c r="AE91" s="240">
        <f t="shared" si="155"/>
        <v>57.023622500000002</v>
      </c>
      <c r="AF91" s="240">
        <f t="shared" si="156"/>
        <v>57.023622500000002</v>
      </c>
      <c r="AG91" s="240">
        <f t="shared" si="157"/>
        <v>57.023622500000002</v>
      </c>
      <c r="AH91" s="240">
        <f t="shared" si="158"/>
        <v>57.023622500000002</v>
      </c>
      <c r="AI91" s="240">
        <f t="shared" si="159"/>
        <v>57.023622500000002</v>
      </c>
      <c r="AJ91" s="240">
        <f t="shared" si="160"/>
        <v>57.023622500000002</v>
      </c>
      <c r="AK91" s="240">
        <f t="shared" si="161"/>
        <v>57.023622500000002</v>
      </c>
      <c r="AL91" s="240">
        <f t="shared" si="162"/>
        <v>57.023622500000002</v>
      </c>
      <c r="AM91" s="240">
        <f t="shared" si="163"/>
        <v>57.023622500000002</v>
      </c>
      <c r="AN91" s="240">
        <f t="shared" si="164"/>
        <v>57.023622500000002</v>
      </c>
      <c r="AO91" s="240">
        <f t="shared" si="165"/>
        <v>171.07086750000002</v>
      </c>
      <c r="AP91" s="240">
        <f t="shared" si="166"/>
        <v>171.07086750000002</v>
      </c>
      <c r="AQ91" s="240">
        <f t="shared" si="167"/>
        <v>171.07086750000002</v>
      </c>
      <c r="AR91" s="240">
        <f t="shared" si="168"/>
        <v>171.07086750000002</v>
      </c>
      <c r="AS91" s="240">
        <f t="shared" si="169"/>
        <v>684.28347000000008</v>
      </c>
      <c r="AT91" s="240">
        <f t="shared" si="170"/>
        <v>52.860898057500009</v>
      </c>
      <c r="AU91" s="240">
        <f t="shared" si="171"/>
        <v>52.860898057500009</v>
      </c>
      <c r="AV91" s="240">
        <f t="shared" si="172"/>
        <v>52.860898057500009</v>
      </c>
      <c r="AW91" s="240">
        <f t="shared" si="173"/>
        <v>52.860898057500009</v>
      </c>
      <c r="AX91" s="240">
        <f t="shared" si="174"/>
        <v>211.44359223000004</v>
      </c>
      <c r="AY91" s="224">
        <f t="shared" si="175"/>
        <v>1.25</v>
      </c>
      <c r="AZ91" s="224">
        <f t="shared" si="176"/>
        <v>3.5</v>
      </c>
      <c r="BA91" s="225">
        <f t="shared" si="177"/>
        <v>5</v>
      </c>
      <c r="BB91" s="224">
        <f t="shared" si="178"/>
        <v>3.5</v>
      </c>
      <c r="BC91" s="240"/>
      <c r="BD91" s="240"/>
      <c r="BE91" s="250"/>
      <c r="BF91" s="240">
        <f t="shared" si="179"/>
        <v>4.75</v>
      </c>
      <c r="BG91" s="240">
        <f t="shared" si="180"/>
        <v>1.25</v>
      </c>
      <c r="BH91" s="240">
        <f t="shared" si="181"/>
        <v>6.25</v>
      </c>
      <c r="BI91" s="240">
        <f t="shared" si="182"/>
        <v>4.75</v>
      </c>
      <c r="BJ91" s="240">
        <f t="shared" si="183"/>
        <v>17</v>
      </c>
      <c r="BK91" s="240">
        <f t="shared" si="184"/>
        <v>1.4677499999999999</v>
      </c>
      <c r="BL91" s="240">
        <f t="shared" si="185"/>
        <v>0.38624999999999998</v>
      </c>
      <c r="BM91" s="240">
        <f t="shared" si="186"/>
        <v>1.9312499999999999</v>
      </c>
      <c r="BN91" s="240">
        <f t="shared" si="187"/>
        <v>1.4677499999999999</v>
      </c>
      <c r="BO91" s="240">
        <f t="shared" si="188"/>
        <v>5.2529999999999992</v>
      </c>
      <c r="BP91" s="240">
        <f t="shared" si="189"/>
        <v>6.2177499999999997</v>
      </c>
      <c r="BQ91" s="240">
        <f t="shared" si="190"/>
        <v>1.63625</v>
      </c>
      <c r="BR91" s="240">
        <f t="shared" si="191"/>
        <v>8.1812500000000004</v>
      </c>
      <c r="BS91" s="240">
        <f t="shared" si="192"/>
        <v>6.2177499999999997</v>
      </c>
      <c r="BT91" s="240">
        <f t="shared" si="193"/>
        <v>22.252999999999997</v>
      </c>
    </row>
    <row r="92" spans="1:72" ht="18" customHeight="1" x14ac:dyDescent="0.2">
      <c r="A92" s="243" t="s">
        <v>975</v>
      </c>
      <c r="B92" s="228" t="s">
        <v>976</v>
      </c>
      <c r="C92" s="229" t="s">
        <v>985</v>
      </c>
      <c r="D92" s="248" t="s">
        <v>986</v>
      </c>
      <c r="E92" s="302">
        <v>1</v>
      </c>
      <c r="F92" s="302" t="s">
        <v>923</v>
      </c>
      <c r="G92" s="219">
        <v>3</v>
      </c>
      <c r="H92" s="275">
        <v>1.23</v>
      </c>
      <c r="I92" s="238">
        <v>9100</v>
      </c>
      <c r="J92" s="238">
        <f t="shared" si="147"/>
        <v>11193</v>
      </c>
      <c r="K92" s="219"/>
      <c r="L92" s="238"/>
      <c r="M92" s="304"/>
      <c r="N92" s="237"/>
      <c r="O92" s="232">
        <v>40</v>
      </c>
      <c r="P92" s="238">
        <v>1492.4</v>
      </c>
      <c r="Q92" s="246">
        <v>20</v>
      </c>
      <c r="R92" s="238">
        <f t="shared" si="148"/>
        <v>2537.08</v>
      </c>
      <c r="S92" s="238">
        <f t="shared" si="149"/>
        <v>12177.98</v>
      </c>
      <c r="T92" s="238">
        <f t="shared" si="150"/>
        <v>12177.98</v>
      </c>
      <c r="U92" s="238">
        <f t="shared" si="194"/>
        <v>39578.44</v>
      </c>
      <c r="V92" s="238">
        <f t="shared" si="151"/>
        <v>39578.44</v>
      </c>
      <c r="W92" s="238"/>
      <c r="X92" s="238"/>
      <c r="Y92" s="316"/>
      <c r="Z92" s="256"/>
      <c r="AA92" s="256"/>
      <c r="AB92" s="234">
        <f t="shared" si="152"/>
        <v>3.2982033333333334</v>
      </c>
      <c r="AC92" s="240">
        <f t="shared" si="153"/>
        <v>42.876643333333334</v>
      </c>
      <c r="AD92" s="240">
        <f t="shared" si="154"/>
        <v>42.876643333333334</v>
      </c>
      <c r="AE92" s="240">
        <f t="shared" si="155"/>
        <v>42.876643333333334</v>
      </c>
      <c r="AF92" s="240">
        <f t="shared" si="156"/>
        <v>42.876643333333334</v>
      </c>
      <c r="AG92" s="240">
        <f t="shared" si="157"/>
        <v>42.876643333333334</v>
      </c>
      <c r="AH92" s="240">
        <f t="shared" si="158"/>
        <v>42.876643333333334</v>
      </c>
      <c r="AI92" s="240">
        <f t="shared" si="159"/>
        <v>42.876643333333334</v>
      </c>
      <c r="AJ92" s="240">
        <f t="shared" si="160"/>
        <v>42.876643333333334</v>
      </c>
      <c r="AK92" s="240">
        <f t="shared" si="161"/>
        <v>42.876643333333334</v>
      </c>
      <c r="AL92" s="240">
        <f t="shared" si="162"/>
        <v>42.876643333333334</v>
      </c>
      <c r="AM92" s="240">
        <f t="shared" si="163"/>
        <v>42.876643333333334</v>
      </c>
      <c r="AN92" s="240">
        <f t="shared" si="164"/>
        <v>42.876643333333334</v>
      </c>
      <c r="AO92" s="240">
        <f t="shared" si="165"/>
        <v>128.62993</v>
      </c>
      <c r="AP92" s="240">
        <f t="shared" si="166"/>
        <v>128.62993</v>
      </c>
      <c r="AQ92" s="240">
        <f t="shared" si="167"/>
        <v>128.62993</v>
      </c>
      <c r="AR92" s="240">
        <f t="shared" si="168"/>
        <v>128.62993</v>
      </c>
      <c r="AS92" s="240">
        <f t="shared" si="169"/>
        <v>514.51972000000001</v>
      </c>
      <c r="AT92" s="240">
        <f t="shared" si="170"/>
        <v>39.746648370000003</v>
      </c>
      <c r="AU92" s="240">
        <f t="shared" si="171"/>
        <v>39.746648370000003</v>
      </c>
      <c r="AV92" s="240">
        <f t="shared" si="172"/>
        <v>39.746648370000003</v>
      </c>
      <c r="AW92" s="240">
        <f t="shared" si="173"/>
        <v>39.746648370000003</v>
      </c>
      <c r="AX92" s="240">
        <f t="shared" si="174"/>
        <v>158.98659348000001</v>
      </c>
      <c r="AY92" s="224">
        <f t="shared" si="175"/>
        <v>1.25</v>
      </c>
      <c r="AZ92" s="224">
        <f t="shared" si="176"/>
        <v>3.5</v>
      </c>
      <c r="BA92" s="225">
        <f t="shared" si="177"/>
        <v>5</v>
      </c>
      <c r="BB92" s="224">
        <f t="shared" si="178"/>
        <v>3.5</v>
      </c>
      <c r="BC92" s="240"/>
      <c r="BD92" s="240"/>
      <c r="BE92" s="250"/>
      <c r="BF92" s="240">
        <f t="shared" si="179"/>
        <v>4.75</v>
      </c>
      <c r="BG92" s="240">
        <f t="shared" si="180"/>
        <v>1.25</v>
      </c>
      <c r="BH92" s="240">
        <f t="shared" si="181"/>
        <v>6.25</v>
      </c>
      <c r="BI92" s="240">
        <f t="shared" si="182"/>
        <v>4.75</v>
      </c>
      <c r="BJ92" s="240">
        <f t="shared" si="183"/>
        <v>17</v>
      </c>
      <c r="BK92" s="240">
        <f t="shared" si="184"/>
        <v>1.4677499999999999</v>
      </c>
      <c r="BL92" s="240">
        <f t="shared" si="185"/>
        <v>0.38624999999999998</v>
      </c>
      <c r="BM92" s="240">
        <f t="shared" si="186"/>
        <v>1.9312499999999999</v>
      </c>
      <c r="BN92" s="240">
        <f t="shared" si="187"/>
        <v>1.4677499999999999</v>
      </c>
      <c r="BO92" s="240">
        <f t="shared" si="188"/>
        <v>5.2529999999999992</v>
      </c>
      <c r="BP92" s="240">
        <f t="shared" si="189"/>
        <v>6.2177499999999997</v>
      </c>
      <c r="BQ92" s="240">
        <f t="shared" si="190"/>
        <v>1.63625</v>
      </c>
      <c r="BR92" s="240">
        <f t="shared" si="191"/>
        <v>8.1812500000000004</v>
      </c>
      <c r="BS92" s="240">
        <f t="shared" si="192"/>
        <v>6.2177499999999997</v>
      </c>
      <c r="BT92" s="240">
        <f t="shared" si="193"/>
        <v>22.252999999999997</v>
      </c>
    </row>
    <row r="93" spans="1:72" ht="18" customHeight="1" x14ac:dyDescent="0.2">
      <c r="A93" s="243" t="s">
        <v>975</v>
      </c>
      <c r="B93" s="228" t="s">
        <v>976</v>
      </c>
      <c r="C93" s="229" t="s">
        <v>985</v>
      </c>
      <c r="D93" s="248" t="s">
        <v>987</v>
      </c>
      <c r="E93" s="302">
        <v>1</v>
      </c>
      <c r="F93" s="302" t="s">
        <v>923</v>
      </c>
      <c r="G93" s="219">
        <v>3</v>
      </c>
      <c r="H93" s="275">
        <v>1.23</v>
      </c>
      <c r="I93" s="238">
        <v>9100</v>
      </c>
      <c r="J93" s="238">
        <f t="shared" si="147"/>
        <v>11193</v>
      </c>
      <c r="K93" s="219"/>
      <c r="L93" s="238"/>
      <c r="M93" s="304"/>
      <c r="N93" s="237"/>
      <c r="O93" s="232">
        <v>40</v>
      </c>
      <c r="P93" s="238">
        <v>1492.4</v>
      </c>
      <c r="Q93" s="246">
        <v>20</v>
      </c>
      <c r="R93" s="238">
        <f t="shared" si="148"/>
        <v>2537.08</v>
      </c>
      <c r="S93" s="238">
        <f t="shared" si="149"/>
        <v>12177.98</v>
      </c>
      <c r="T93" s="238">
        <f t="shared" si="150"/>
        <v>12177.98</v>
      </c>
      <c r="U93" s="238">
        <f t="shared" si="194"/>
        <v>39578.44</v>
      </c>
      <c r="V93" s="238">
        <f t="shared" si="151"/>
        <v>39578.44</v>
      </c>
      <c r="W93" s="238"/>
      <c r="X93" s="238"/>
      <c r="Y93" s="316"/>
      <c r="Z93" s="256"/>
      <c r="AA93" s="256"/>
      <c r="AB93" s="234">
        <f t="shared" si="152"/>
        <v>3.2982033333333334</v>
      </c>
      <c r="AC93" s="240">
        <f t="shared" si="153"/>
        <v>42.876643333333334</v>
      </c>
      <c r="AD93" s="240">
        <f t="shared" si="154"/>
        <v>42.876643333333334</v>
      </c>
      <c r="AE93" s="240">
        <f t="shared" si="155"/>
        <v>42.876643333333334</v>
      </c>
      <c r="AF93" s="240">
        <f t="shared" si="156"/>
        <v>42.876643333333334</v>
      </c>
      <c r="AG93" s="240">
        <f t="shared" si="157"/>
        <v>42.876643333333334</v>
      </c>
      <c r="AH93" s="240">
        <f t="shared" si="158"/>
        <v>42.876643333333334</v>
      </c>
      <c r="AI93" s="240">
        <f t="shared" si="159"/>
        <v>42.876643333333334</v>
      </c>
      <c r="AJ93" s="240">
        <f t="shared" si="160"/>
        <v>42.876643333333334</v>
      </c>
      <c r="AK93" s="240">
        <f t="shared" si="161"/>
        <v>42.876643333333334</v>
      </c>
      <c r="AL93" s="240">
        <f t="shared" si="162"/>
        <v>42.876643333333334</v>
      </c>
      <c r="AM93" s="240">
        <f t="shared" si="163"/>
        <v>42.876643333333334</v>
      </c>
      <c r="AN93" s="240">
        <f t="shared" si="164"/>
        <v>42.876643333333334</v>
      </c>
      <c r="AO93" s="240">
        <f t="shared" si="165"/>
        <v>128.62993</v>
      </c>
      <c r="AP93" s="240">
        <f t="shared" si="166"/>
        <v>128.62993</v>
      </c>
      <c r="AQ93" s="240">
        <f t="shared" si="167"/>
        <v>128.62993</v>
      </c>
      <c r="AR93" s="240">
        <f t="shared" si="168"/>
        <v>128.62993</v>
      </c>
      <c r="AS93" s="240">
        <f t="shared" si="169"/>
        <v>514.51972000000001</v>
      </c>
      <c r="AT93" s="240">
        <f t="shared" si="170"/>
        <v>39.746648370000003</v>
      </c>
      <c r="AU93" s="240">
        <f t="shared" si="171"/>
        <v>39.746648370000003</v>
      </c>
      <c r="AV93" s="240">
        <f t="shared" si="172"/>
        <v>39.746648370000003</v>
      </c>
      <c r="AW93" s="240">
        <f t="shared" si="173"/>
        <v>39.746648370000003</v>
      </c>
      <c r="AX93" s="240">
        <f t="shared" si="174"/>
        <v>158.98659348000001</v>
      </c>
      <c r="AY93" s="224">
        <f t="shared" si="175"/>
        <v>1.25</v>
      </c>
      <c r="AZ93" s="224">
        <f t="shared" si="176"/>
        <v>3.5</v>
      </c>
      <c r="BA93" s="225">
        <f t="shared" si="177"/>
        <v>5</v>
      </c>
      <c r="BB93" s="224">
        <f t="shared" si="178"/>
        <v>3.5</v>
      </c>
      <c r="BC93" s="240"/>
      <c r="BD93" s="240"/>
      <c r="BE93" s="250"/>
      <c r="BF93" s="240">
        <f t="shared" si="179"/>
        <v>4.75</v>
      </c>
      <c r="BG93" s="240">
        <f t="shared" si="180"/>
        <v>1.25</v>
      </c>
      <c r="BH93" s="240">
        <f t="shared" si="181"/>
        <v>6.25</v>
      </c>
      <c r="BI93" s="240">
        <f t="shared" si="182"/>
        <v>4.75</v>
      </c>
      <c r="BJ93" s="240">
        <f t="shared" si="183"/>
        <v>17</v>
      </c>
      <c r="BK93" s="240">
        <f t="shared" si="184"/>
        <v>1.4677499999999999</v>
      </c>
      <c r="BL93" s="240">
        <f t="shared" si="185"/>
        <v>0.38624999999999998</v>
      </c>
      <c r="BM93" s="240">
        <f t="shared" si="186"/>
        <v>1.9312499999999999</v>
      </c>
      <c r="BN93" s="240">
        <f t="shared" si="187"/>
        <v>1.4677499999999999</v>
      </c>
      <c r="BO93" s="240">
        <f t="shared" si="188"/>
        <v>5.2529999999999992</v>
      </c>
      <c r="BP93" s="240">
        <f t="shared" si="189"/>
        <v>6.2177499999999997</v>
      </c>
      <c r="BQ93" s="240">
        <f t="shared" si="190"/>
        <v>1.63625</v>
      </c>
      <c r="BR93" s="240">
        <f t="shared" si="191"/>
        <v>8.1812500000000004</v>
      </c>
      <c r="BS93" s="240">
        <f t="shared" si="192"/>
        <v>6.2177499999999997</v>
      </c>
      <c r="BT93" s="240">
        <f t="shared" si="193"/>
        <v>22.252999999999997</v>
      </c>
    </row>
    <row r="94" spans="1:72" ht="18" customHeight="1" x14ac:dyDescent="0.2">
      <c r="A94" s="243" t="s">
        <v>975</v>
      </c>
      <c r="B94" s="228" t="s">
        <v>976</v>
      </c>
      <c r="C94" s="229" t="s">
        <v>985</v>
      </c>
      <c r="D94" s="248" t="s">
        <v>988</v>
      </c>
      <c r="E94" s="302">
        <v>1</v>
      </c>
      <c r="F94" s="302" t="s">
        <v>923</v>
      </c>
      <c r="G94" s="219">
        <v>3</v>
      </c>
      <c r="H94" s="275">
        <v>1.23</v>
      </c>
      <c r="I94" s="238">
        <v>9100</v>
      </c>
      <c r="J94" s="238">
        <f t="shared" si="147"/>
        <v>11193</v>
      </c>
      <c r="K94" s="219"/>
      <c r="L94" s="238"/>
      <c r="M94" s="304"/>
      <c r="N94" s="237"/>
      <c r="O94" s="232">
        <v>40</v>
      </c>
      <c r="P94" s="238">
        <v>1492.4</v>
      </c>
      <c r="Q94" s="246">
        <v>20</v>
      </c>
      <c r="R94" s="238">
        <f t="shared" si="148"/>
        <v>2537.08</v>
      </c>
      <c r="S94" s="238">
        <f t="shared" si="149"/>
        <v>12177.98</v>
      </c>
      <c r="T94" s="238">
        <f t="shared" si="150"/>
        <v>12177.98</v>
      </c>
      <c r="U94" s="238">
        <f t="shared" si="194"/>
        <v>39578.44</v>
      </c>
      <c r="V94" s="238">
        <f t="shared" si="151"/>
        <v>39578.44</v>
      </c>
      <c r="W94" s="238"/>
      <c r="X94" s="238"/>
      <c r="Y94" s="316"/>
      <c r="Z94" s="256"/>
      <c r="AA94" s="256"/>
      <c r="AB94" s="234">
        <f t="shared" si="152"/>
        <v>3.2982033333333334</v>
      </c>
      <c r="AC94" s="240">
        <f t="shared" si="153"/>
        <v>42.876643333333334</v>
      </c>
      <c r="AD94" s="240">
        <f t="shared" si="154"/>
        <v>42.876643333333334</v>
      </c>
      <c r="AE94" s="240">
        <f t="shared" si="155"/>
        <v>42.876643333333334</v>
      </c>
      <c r="AF94" s="240">
        <f t="shared" si="156"/>
        <v>42.876643333333334</v>
      </c>
      <c r="AG94" s="240">
        <f t="shared" si="157"/>
        <v>42.876643333333334</v>
      </c>
      <c r="AH94" s="240">
        <f t="shared" si="158"/>
        <v>42.876643333333334</v>
      </c>
      <c r="AI94" s="240">
        <f t="shared" si="159"/>
        <v>42.876643333333334</v>
      </c>
      <c r="AJ94" s="240">
        <f t="shared" si="160"/>
        <v>42.876643333333334</v>
      </c>
      <c r="AK94" s="240">
        <f t="shared" si="161"/>
        <v>42.876643333333334</v>
      </c>
      <c r="AL94" s="240">
        <f t="shared" si="162"/>
        <v>42.876643333333334</v>
      </c>
      <c r="AM94" s="240">
        <f t="shared" si="163"/>
        <v>42.876643333333334</v>
      </c>
      <c r="AN94" s="240">
        <f t="shared" si="164"/>
        <v>42.876643333333334</v>
      </c>
      <c r="AO94" s="240">
        <f t="shared" si="165"/>
        <v>128.62993</v>
      </c>
      <c r="AP94" s="240">
        <f t="shared" si="166"/>
        <v>128.62993</v>
      </c>
      <c r="AQ94" s="240">
        <f t="shared" si="167"/>
        <v>128.62993</v>
      </c>
      <c r="AR94" s="240">
        <f t="shared" si="168"/>
        <v>128.62993</v>
      </c>
      <c r="AS94" s="240">
        <f t="shared" si="169"/>
        <v>514.51972000000001</v>
      </c>
      <c r="AT94" s="240">
        <f t="shared" si="170"/>
        <v>39.746648370000003</v>
      </c>
      <c r="AU94" s="240">
        <f t="shared" si="171"/>
        <v>39.746648370000003</v>
      </c>
      <c r="AV94" s="240">
        <f t="shared" si="172"/>
        <v>39.746648370000003</v>
      </c>
      <c r="AW94" s="240">
        <f t="shared" si="173"/>
        <v>39.746648370000003</v>
      </c>
      <c r="AX94" s="240">
        <f t="shared" si="174"/>
        <v>158.98659348000001</v>
      </c>
      <c r="AY94" s="224">
        <f t="shared" si="175"/>
        <v>1.25</v>
      </c>
      <c r="AZ94" s="224">
        <f t="shared" si="176"/>
        <v>3.5</v>
      </c>
      <c r="BA94" s="225">
        <f t="shared" si="177"/>
        <v>5</v>
      </c>
      <c r="BB94" s="224">
        <f t="shared" si="178"/>
        <v>3.5</v>
      </c>
      <c r="BC94" s="240"/>
      <c r="BD94" s="240"/>
      <c r="BE94" s="250"/>
      <c r="BF94" s="240">
        <f t="shared" si="179"/>
        <v>4.75</v>
      </c>
      <c r="BG94" s="240">
        <f t="shared" si="180"/>
        <v>1.25</v>
      </c>
      <c r="BH94" s="240">
        <f t="shared" si="181"/>
        <v>6.25</v>
      </c>
      <c r="BI94" s="240">
        <f t="shared" si="182"/>
        <v>4.75</v>
      </c>
      <c r="BJ94" s="240">
        <f t="shared" si="183"/>
        <v>17</v>
      </c>
      <c r="BK94" s="240">
        <f t="shared" si="184"/>
        <v>1.4677499999999999</v>
      </c>
      <c r="BL94" s="240">
        <f t="shared" si="185"/>
        <v>0.38624999999999998</v>
      </c>
      <c r="BM94" s="240">
        <f t="shared" si="186"/>
        <v>1.9312499999999999</v>
      </c>
      <c r="BN94" s="240">
        <f t="shared" si="187"/>
        <v>1.4677499999999999</v>
      </c>
      <c r="BO94" s="240">
        <f t="shared" si="188"/>
        <v>5.2529999999999992</v>
      </c>
      <c r="BP94" s="240">
        <f t="shared" si="189"/>
        <v>6.2177499999999997</v>
      </c>
      <c r="BQ94" s="240">
        <f t="shared" si="190"/>
        <v>1.63625</v>
      </c>
      <c r="BR94" s="240">
        <f t="shared" si="191"/>
        <v>8.1812500000000004</v>
      </c>
      <c r="BS94" s="240">
        <f t="shared" si="192"/>
        <v>6.2177499999999997</v>
      </c>
      <c r="BT94" s="240">
        <f t="shared" si="193"/>
        <v>22.252999999999997</v>
      </c>
    </row>
    <row r="95" spans="1:72" ht="24.75" customHeight="1" x14ac:dyDescent="0.2">
      <c r="A95" s="243" t="s">
        <v>975</v>
      </c>
      <c r="B95" s="228" t="s">
        <v>976</v>
      </c>
      <c r="C95" s="229" t="s">
        <v>985</v>
      </c>
      <c r="D95" s="248" t="s">
        <v>989</v>
      </c>
      <c r="E95" s="302">
        <v>1</v>
      </c>
      <c r="F95" s="302" t="s">
        <v>923</v>
      </c>
      <c r="G95" s="219">
        <v>3</v>
      </c>
      <c r="H95" s="275">
        <v>1.23</v>
      </c>
      <c r="I95" s="238">
        <v>9100</v>
      </c>
      <c r="J95" s="238">
        <f t="shared" si="147"/>
        <v>11193</v>
      </c>
      <c r="K95" s="219"/>
      <c r="L95" s="238"/>
      <c r="M95" s="304"/>
      <c r="N95" s="237"/>
      <c r="O95" s="232">
        <v>40</v>
      </c>
      <c r="P95" s="238">
        <v>1492.4</v>
      </c>
      <c r="Q95" s="246">
        <v>20</v>
      </c>
      <c r="R95" s="238">
        <f t="shared" si="148"/>
        <v>2537.08</v>
      </c>
      <c r="S95" s="238">
        <f t="shared" si="149"/>
        <v>12177.98</v>
      </c>
      <c r="T95" s="238">
        <f t="shared" si="150"/>
        <v>12177.98</v>
      </c>
      <c r="U95" s="238">
        <f t="shared" si="194"/>
        <v>39578.44</v>
      </c>
      <c r="V95" s="238">
        <f t="shared" si="151"/>
        <v>39578.44</v>
      </c>
      <c r="W95" s="238"/>
      <c r="X95" s="238"/>
      <c r="Y95" s="316"/>
      <c r="Z95" s="256"/>
      <c r="AA95" s="256"/>
      <c r="AB95" s="234">
        <f t="shared" si="152"/>
        <v>3.2982033333333334</v>
      </c>
      <c r="AC95" s="240">
        <f t="shared" si="153"/>
        <v>42.876643333333334</v>
      </c>
      <c r="AD95" s="240">
        <f t="shared" si="154"/>
        <v>42.876643333333334</v>
      </c>
      <c r="AE95" s="240">
        <f t="shared" si="155"/>
        <v>42.876643333333334</v>
      </c>
      <c r="AF95" s="240">
        <f t="shared" si="156"/>
        <v>42.876643333333334</v>
      </c>
      <c r="AG95" s="240">
        <f t="shared" si="157"/>
        <v>42.876643333333334</v>
      </c>
      <c r="AH95" s="240">
        <f t="shared" si="158"/>
        <v>42.876643333333334</v>
      </c>
      <c r="AI95" s="240">
        <f t="shared" si="159"/>
        <v>42.876643333333334</v>
      </c>
      <c r="AJ95" s="240">
        <f t="shared" si="160"/>
        <v>42.876643333333334</v>
      </c>
      <c r="AK95" s="240">
        <f t="shared" si="161"/>
        <v>42.876643333333334</v>
      </c>
      <c r="AL95" s="240">
        <f t="shared" si="162"/>
        <v>42.876643333333334</v>
      </c>
      <c r="AM95" s="240">
        <f t="shared" si="163"/>
        <v>42.876643333333334</v>
      </c>
      <c r="AN95" s="240">
        <f t="shared" si="164"/>
        <v>42.876643333333334</v>
      </c>
      <c r="AO95" s="240">
        <f t="shared" si="165"/>
        <v>128.62993</v>
      </c>
      <c r="AP95" s="240">
        <f t="shared" si="166"/>
        <v>128.62993</v>
      </c>
      <c r="AQ95" s="240">
        <f t="shared" si="167"/>
        <v>128.62993</v>
      </c>
      <c r="AR95" s="240">
        <f t="shared" si="168"/>
        <v>128.62993</v>
      </c>
      <c r="AS95" s="240">
        <f t="shared" si="169"/>
        <v>514.51972000000001</v>
      </c>
      <c r="AT95" s="240">
        <f t="shared" si="170"/>
        <v>39.746648370000003</v>
      </c>
      <c r="AU95" s="240">
        <f t="shared" si="171"/>
        <v>39.746648370000003</v>
      </c>
      <c r="AV95" s="240">
        <f t="shared" si="172"/>
        <v>39.746648370000003</v>
      </c>
      <c r="AW95" s="240">
        <f t="shared" si="173"/>
        <v>39.746648370000003</v>
      </c>
      <c r="AX95" s="240">
        <f t="shared" si="174"/>
        <v>158.98659348000001</v>
      </c>
      <c r="AY95" s="224">
        <f t="shared" si="175"/>
        <v>1.25</v>
      </c>
      <c r="AZ95" s="224">
        <f t="shared" si="176"/>
        <v>3.5</v>
      </c>
      <c r="BA95" s="225">
        <f t="shared" si="177"/>
        <v>5</v>
      </c>
      <c r="BB95" s="224">
        <f t="shared" si="178"/>
        <v>3.5</v>
      </c>
      <c r="BC95" s="240"/>
      <c r="BD95" s="240"/>
      <c r="BE95" s="250"/>
      <c r="BF95" s="240">
        <f t="shared" si="179"/>
        <v>4.75</v>
      </c>
      <c r="BG95" s="240">
        <f t="shared" si="180"/>
        <v>1.25</v>
      </c>
      <c r="BH95" s="240">
        <f t="shared" si="181"/>
        <v>6.25</v>
      </c>
      <c r="BI95" s="240">
        <f t="shared" si="182"/>
        <v>4.75</v>
      </c>
      <c r="BJ95" s="240">
        <f t="shared" si="183"/>
        <v>17</v>
      </c>
      <c r="BK95" s="240">
        <f t="shared" si="184"/>
        <v>1.4677499999999999</v>
      </c>
      <c r="BL95" s="240">
        <f t="shared" si="185"/>
        <v>0.38624999999999998</v>
      </c>
      <c r="BM95" s="240">
        <f t="shared" si="186"/>
        <v>1.9312499999999999</v>
      </c>
      <c r="BN95" s="240">
        <f t="shared" si="187"/>
        <v>1.4677499999999999</v>
      </c>
      <c r="BO95" s="240">
        <f t="shared" si="188"/>
        <v>5.2529999999999992</v>
      </c>
      <c r="BP95" s="240">
        <f t="shared" si="189"/>
        <v>6.2177499999999997</v>
      </c>
      <c r="BQ95" s="240">
        <f t="shared" si="190"/>
        <v>1.63625</v>
      </c>
      <c r="BR95" s="240">
        <f t="shared" si="191"/>
        <v>8.1812500000000004</v>
      </c>
      <c r="BS95" s="240">
        <f t="shared" si="192"/>
        <v>6.2177499999999997</v>
      </c>
      <c r="BT95" s="240">
        <f t="shared" si="193"/>
        <v>22.252999999999997</v>
      </c>
    </row>
    <row r="96" spans="1:72" ht="18" customHeight="1" x14ac:dyDescent="0.2">
      <c r="A96" s="243" t="s">
        <v>975</v>
      </c>
      <c r="B96" s="228" t="s">
        <v>976</v>
      </c>
      <c r="C96" s="229" t="s">
        <v>985</v>
      </c>
      <c r="D96" s="248" t="s">
        <v>990</v>
      </c>
      <c r="E96" s="302">
        <v>1</v>
      </c>
      <c r="F96" s="302" t="s">
        <v>923</v>
      </c>
      <c r="G96" s="219">
        <v>3</v>
      </c>
      <c r="H96" s="275">
        <v>1.23</v>
      </c>
      <c r="I96" s="238">
        <v>9100</v>
      </c>
      <c r="J96" s="238">
        <f t="shared" si="147"/>
        <v>11193</v>
      </c>
      <c r="K96" s="219"/>
      <c r="L96" s="238"/>
      <c r="M96" s="304"/>
      <c r="N96" s="237"/>
      <c r="O96" s="232">
        <v>40</v>
      </c>
      <c r="P96" s="238">
        <v>1492.4</v>
      </c>
      <c r="Q96" s="246">
        <v>20</v>
      </c>
      <c r="R96" s="238">
        <f t="shared" si="148"/>
        <v>2537.08</v>
      </c>
      <c r="S96" s="238">
        <f t="shared" si="149"/>
        <v>12177.98</v>
      </c>
      <c r="T96" s="238">
        <f t="shared" si="150"/>
        <v>12177.98</v>
      </c>
      <c r="U96" s="238">
        <f t="shared" si="194"/>
        <v>39578.44</v>
      </c>
      <c r="V96" s="238">
        <f t="shared" si="151"/>
        <v>39578.44</v>
      </c>
      <c r="W96" s="238"/>
      <c r="X96" s="238"/>
      <c r="Y96" s="316"/>
      <c r="Z96" s="256"/>
      <c r="AA96" s="256"/>
      <c r="AB96" s="234">
        <f t="shared" si="152"/>
        <v>3.2982033333333334</v>
      </c>
      <c r="AC96" s="240">
        <f t="shared" si="153"/>
        <v>42.876643333333334</v>
      </c>
      <c r="AD96" s="240">
        <f t="shared" si="154"/>
        <v>42.876643333333334</v>
      </c>
      <c r="AE96" s="240">
        <f t="shared" si="155"/>
        <v>42.876643333333334</v>
      </c>
      <c r="AF96" s="240">
        <f t="shared" si="156"/>
        <v>42.876643333333334</v>
      </c>
      <c r="AG96" s="240">
        <f t="shared" si="157"/>
        <v>42.876643333333334</v>
      </c>
      <c r="AH96" s="240">
        <f t="shared" si="158"/>
        <v>42.876643333333334</v>
      </c>
      <c r="AI96" s="240">
        <f t="shared" si="159"/>
        <v>42.876643333333334</v>
      </c>
      <c r="AJ96" s="240">
        <f t="shared" si="160"/>
        <v>42.876643333333334</v>
      </c>
      <c r="AK96" s="240">
        <f t="shared" si="161"/>
        <v>42.876643333333334</v>
      </c>
      <c r="AL96" s="240">
        <f t="shared" si="162"/>
        <v>42.876643333333334</v>
      </c>
      <c r="AM96" s="240">
        <f t="shared" si="163"/>
        <v>42.876643333333334</v>
      </c>
      <c r="AN96" s="240">
        <f t="shared" si="164"/>
        <v>42.876643333333334</v>
      </c>
      <c r="AO96" s="240">
        <f t="shared" si="165"/>
        <v>128.62993</v>
      </c>
      <c r="AP96" s="240">
        <f t="shared" si="166"/>
        <v>128.62993</v>
      </c>
      <c r="AQ96" s="240">
        <f t="shared" si="167"/>
        <v>128.62993</v>
      </c>
      <c r="AR96" s="240">
        <f t="shared" si="168"/>
        <v>128.62993</v>
      </c>
      <c r="AS96" s="240">
        <f t="shared" si="169"/>
        <v>514.51972000000001</v>
      </c>
      <c r="AT96" s="240">
        <f t="shared" si="170"/>
        <v>39.746648370000003</v>
      </c>
      <c r="AU96" s="240">
        <f t="shared" si="171"/>
        <v>39.746648370000003</v>
      </c>
      <c r="AV96" s="240">
        <f t="shared" si="172"/>
        <v>39.746648370000003</v>
      </c>
      <c r="AW96" s="240">
        <f t="shared" si="173"/>
        <v>39.746648370000003</v>
      </c>
      <c r="AX96" s="240">
        <f t="shared" si="174"/>
        <v>158.98659348000001</v>
      </c>
      <c r="AY96" s="224">
        <f t="shared" si="175"/>
        <v>1.25</v>
      </c>
      <c r="AZ96" s="224">
        <f t="shared" si="176"/>
        <v>3.5</v>
      </c>
      <c r="BA96" s="225">
        <f t="shared" si="177"/>
        <v>5</v>
      </c>
      <c r="BB96" s="224">
        <f t="shared" si="178"/>
        <v>3.5</v>
      </c>
      <c r="BC96" s="240"/>
      <c r="BD96" s="240"/>
      <c r="BE96" s="250"/>
      <c r="BF96" s="240">
        <f t="shared" si="179"/>
        <v>4.75</v>
      </c>
      <c r="BG96" s="240">
        <f t="shared" si="180"/>
        <v>1.25</v>
      </c>
      <c r="BH96" s="240">
        <f t="shared" si="181"/>
        <v>6.25</v>
      </c>
      <c r="BI96" s="240">
        <f t="shared" si="182"/>
        <v>4.75</v>
      </c>
      <c r="BJ96" s="240">
        <f t="shared" si="183"/>
        <v>17</v>
      </c>
      <c r="BK96" s="240">
        <f t="shared" si="184"/>
        <v>1.4677499999999999</v>
      </c>
      <c r="BL96" s="240">
        <f t="shared" si="185"/>
        <v>0.38624999999999998</v>
      </c>
      <c r="BM96" s="240">
        <f t="shared" si="186"/>
        <v>1.9312499999999999</v>
      </c>
      <c r="BN96" s="240">
        <f t="shared" si="187"/>
        <v>1.4677499999999999</v>
      </c>
      <c r="BO96" s="240">
        <f t="shared" si="188"/>
        <v>5.2529999999999992</v>
      </c>
      <c r="BP96" s="240">
        <f t="shared" si="189"/>
        <v>6.2177499999999997</v>
      </c>
      <c r="BQ96" s="240">
        <f t="shared" si="190"/>
        <v>1.63625</v>
      </c>
      <c r="BR96" s="240">
        <f t="shared" si="191"/>
        <v>8.1812500000000004</v>
      </c>
      <c r="BS96" s="240">
        <f t="shared" si="192"/>
        <v>6.2177499999999997</v>
      </c>
      <c r="BT96" s="240">
        <f t="shared" si="193"/>
        <v>22.252999999999997</v>
      </c>
    </row>
    <row r="97" spans="1:72" ht="18" customHeight="1" x14ac:dyDescent="0.2">
      <c r="A97" s="243" t="s">
        <v>975</v>
      </c>
      <c r="B97" s="228" t="s">
        <v>976</v>
      </c>
      <c r="C97" s="229" t="s">
        <v>985</v>
      </c>
      <c r="D97" s="317" t="s">
        <v>956</v>
      </c>
      <c r="E97" s="302">
        <v>1</v>
      </c>
      <c r="F97" s="302" t="s">
        <v>923</v>
      </c>
      <c r="G97" s="219">
        <v>3</v>
      </c>
      <c r="H97" s="275">
        <v>1.23</v>
      </c>
      <c r="I97" s="238">
        <v>9100</v>
      </c>
      <c r="J97" s="238">
        <f t="shared" si="147"/>
        <v>11193</v>
      </c>
      <c r="K97" s="219"/>
      <c r="L97" s="238"/>
      <c r="M97" s="304"/>
      <c r="N97" s="237"/>
      <c r="O97" s="232">
        <v>40</v>
      </c>
      <c r="P97" s="238">
        <v>1492.4</v>
      </c>
      <c r="Q97" s="246">
        <v>20</v>
      </c>
      <c r="R97" s="238">
        <f t="shared" si="148"/>
        <v>2537.08</v>
      </c>
      <c r="S97" s="238">
        <f t="shared" si="149"/>
        <v>12177.98</v>
      </c>
      <c r="T97" s="238">
        <f t="shared" si="150"/>
        <v>12177.98</v>
      </c>
      <c r="U97" s="238">
        <f t="shared" si="194"/>
        <v>39578.44</v>
      </c>
      <c r="V97" s="238">
        <f t="shared" si="151"/>
        <v>39578.44</v>
      </c>
      <c r="W97" s="238"/>
      <c r="X97" s="238"/>
      <c r="Y97" s="316"/>
      <c r="Z97" s="256"/>
      <c r="AA97" s="256"/>
      <c r="AB97" s="234">
        <f t="shared" si="152"/>
        <v>3.2982033333333334</v>
      </c>
      <c r="AC97" s="240">
        <f t="shared" si="153"/>
        <v>42.876643333333334</v>
      </c>
      <c r="AD97" s="240">
        <f t="shared" si="154"/>
        <v>42.876643333333334</v>
      </c>
      <c r="AE97" s="240">
        <f t="shared" si="155"/>
        <v>42.876643333333334</v>
      </c>
      <c r="AF97" s="240">
        <f t="shared" si="156"/>
        <v>42.876643333333334</v>
      </c>
      <c r="AG97" s="240">
        <f t="shared" si="157"/>
        <v>42.876643333333334</v>
      </c>
      <c r="AH97" s="240">
        <f t="shared" si="158"/>
        <v>42.876643333333334</v>
      </c>
      <c r="AI97" s="240">
        <f t="shared" si="159"/>
        <v>42.876643333333334</v>
      </c>
      <c r="AJ97" s="240">
        <f t="shared" si="160"/>
        <v>42.876643333333334</v>
      </c>
      <c r="AK97" s="240">
        <f t="shared" si="161"/>
        <v>42.876643333333334</v>
      </c>
      <c r="AL97" s="240">
        <f t="shared" si="162"/>
        <v>42.876643333333334</v>
      </c>
      <c r="AM97" s="240">
        <f t="shared" si="163"/>
        <v>42.876643333333334</v>
      </c>
      <c r="AN97" s="240">
        <f t="shared" si="164"/>
        <v>42.876643333333334</v>
      </c>
      <c r="AO97" s="240">
        <f t="shared" si="165"/>
        <v>128.62993</v>
      </c>
      <c r="AP97" s="240">
        <f t="shared" si="166"/>
        <v>128.62993</v>
      </c>
      <c r="AQ97" s="240">
        <f t="shared" si="167"/>
        <v>128.62993</v>
      </c>
      <c r="AR97" s="240">
        <f t="shared" si="168"/>
        <v>128.62993</v>
      </c>
      <c r="AS97" s="240">
        <f t="shared" si="169"/>
        <v>514.51972000000001</v>
      </c>
      <c r="AT97" s="240">
        <f t="shared" si="170"/>
        <v>39.746648370000003</v>
      </c>
      <c r="AU97" s="240">
        <f t="shared" si="171"/>
        <v>39.746648370000003</v>
      </c>
      <c r="AV97" s="240">
        <f t="shared" si="172"/>
        <v>39.746648370000003</v>
      </c>
      <c r="AW97" s="240">
        <f t="shared" si="173"/>
        <v>39.746648370000003</v>
      </c>
      <c r="AX97" s="240">
        <f t="shared" si="174"/>
        <v>158.98659348000001</v>
      </c>
      <c r="AY97" s="224"/>
      <c r="AZ97" s="224">
        <f t="shared" si="176"/>
        <v>3.5</v>
      </c>
      <c r="BA97" s="225">
        <f t="shared" si="177"/>
        <v>5</v>
      </c>
      <c r="BB97" s="224">
        <f t="shared" si="178"/>
        <v>3.5</v>
      </c>
      <c r="BC97" s="240"/>
      <c r="BD97" s="240"/>
      <c r="BE97" s="250"/>
      <c r="BF97" s="240">
        <f t="shared" si="179"/>
        <v>3.5</v>
      </c>
      <c r="BG97" s="240">
        <f t="shared" si="180"/>
        <v>0</v>
      </c>
      <c r="BH97" s="240">
        <f t="shared" si="181"/>
        <v>5</v>
      </c>
      <c r="BI97" s="240">
        <f t="shared" si="182"/>
        <v>3.5</v>
      </c>
      <c r="BJ97" s="240">
        <f t="shared" si="183"/>
        <v>12</v>
      </c>
      <c r="BK97" s="240">
        <f t="shared" si="184"/>
        <v>1.0814999999999999</v>
      </c>
      <c r="BL97" s="240">
        <f t="shared" si="185"/>
        <v>0</v>
      </c>
      <c r="BM97" s="240">
        <f t="shared" si="186"/>
        <v>1.5449999999999999</v>
      </c>
      <c r="BN97" s="240">
        <f t="shared" si="187"/>
        <v>1.0814999999999999</v>
      </c>
      <c r="BO97" s="240">
        <f t="shared" si="188"/>
        <v>3.7080000000000002</v>
      </c>
      <c r="BP97" s="240">
        <f t="shared" si="189"/>
        <v>4.5815000000000001</v>
      </c>
      <c r="BQ97" s="240">
        <f t="shared" si="190"/>
        <v>0</v>
      </c>
      <c r="BR97" s="240">
        <f t="shared" si="191"/>
        <v>6.5449999999999999</v>
      </c>
      <c r="BS97" s="240">
        <f t="shared" si="192"/>
        <v>4.5815000000000001</v>
      </c>
      <c r="BT97" s="240">
        <f t="shared" si="193"/>
        <v>15.708</v>
      </c>
    </row>
    <row r="98" spans="1:72" ht="18" customHeight="1" x14ac:dyDescent="0.2">
      <c r="A98" s="243" t="s">
        <v>975</v>
      </c>
      <c r="B98" s="228" t="s">
        <v>976</v>
      </c>
      <c r="C98" s="229" t="s">
        <v>962</v>
      </c>
      <c r="D98" s="248" t="s">
        <v>991</v>
      </c>
      <c r="E98" s="302">
        <v>1</v>
      </c>
      <c r="F98" s="302" t="s">
        <v>923</v>
      </c>
      <c r="G98" s="219">
        <v>3</v>
      </c>
      <c r="H98" s="275">
        <v>1.23</v>
      </c>
      <c r="I98" s="238">
        <v>9100</v>
      </c>
      <c r="J98" s="238">
        <f t="shared" si="147"/>
        <v>11193</v>
      </c>
      <c r="K98" s="219"/>
      <c r="L98" s="238"/>
      <c r="M98" s="304"/>
      <c r="N98" s="237"/>
      <c r="O98" s="232"/>
      <c r="P98" s="238"/>
      <c r="Q98" s="246">
        <v>20</v>
      </c>
      <c r="R98" s="238">
        <f t="shared" si="148"/>
        <v>2238.6</v>
      </c>
      <c r="S98" s="238">
        <f t="shared" si="149"/>
        <v>10745.28</v>
      </c>
      <c r="T98" s="238">
        <f t="shared" si="150"/>
        <v>10745.28</v>
      </c>
      <c r="U98" s="238">
        <f t="shared" si="194"/>
        <v>34922.160000000003</v>
      </c>
      <c r="V98" s="238">
        <f t="shared" si="151"/>
        <v>34922.160000000003</v>
      </c>
      <c r="W98" s="238"/>
      <c r="X98" s="238"/>
      <c r="Y98" s="316"/>
      <c r="Z98" s="256"/>
      <c r="AA98" s="256"/>
      <c r="AB98" s="234">
        <f t="shared" si="152"/>
        <v>2.9101800000000004</v>
      </c>
      <c r="AC98" s="240">
        <f t="shared" si="153"/>
        <v>37.832340000000002</v>
      </c>
      <c r="AD98" s="240">
        <f t="shared" si="154"/>
        <v>37.832340000000002</v>
      </c>
      <c r="AE98" s="240">
        <f t="shared" si="155"/>
        <v>37.832340000000002</v>
      </c>
      <c r="AF98" s="240">
        <f t="shared" si="156"/>
        <v>37.832340000000002</v>
      </c>
      <c r="AG98" s="240">
        <f t="shared" si="157"/>
        <v>37.832340000000002</v>
      </c>
      <c r="AH98" s="240">
        <f t="shared" si="158"/>
        <v>37.832340000000002</v>
      </c>
      <c r="AI98" s="240">
        <f t="shared" si="159"/>
        <v>37.832340000000002</v>
      </c>
      <c r="AJ98" s="240">
        <f t="shared" si="160"/>
        <v>37.832340000000002</v>
      </c>
      <c r="AK98" s="240">
        <f t="shared" si="161"/>
        <v>37.832340000000002</v>
      </c>
      <c r="AL98" s="240">
        <f t="shared" si="162"/>
        <v>37.832340000000002</v>
      </c>
      <c r="AM98" s="240">
        <f t="shared" si="163"/>
        <v>37.832340000000002</v>
      </c>
      <c r="AN98" s="240">
        <f t="shared" si="164"/>
        <v>37.832340000000002</v>
      </c>
      <c r="AO98" s="240">
        <f t="shared" si="165"/>
        <v>113.49702000000001</v>
      </c>
      <c r="AP98" s="240">
        <f t="shared" si="166"/>
        <v>113.49702000000001</v>
      </c>
      <c r="AQ98" s="240">
        <f t="shared" si="167"/>
        <v>113.49702000000001</v>
      </c>
      <c r="AR98" s="240">
        <f t="shared" si="168"/>
        <v>113.49702000000001</v>
      </c>
      <c r="AS98" s="240">
        <f t="shared" si="169"/>
        <v>453.98808000000002</v>
      </c>
      <c r="AT98" s="240">
        <f t="shared" si="170"/>
        <v>35.070579180000003</v>
      </c>
      <c r="AU98" s="240">
        <f t="shared" si="171"/>
        <v>35.070579180000003</v>
      </c>
      <c r="AV98" s="240">
        <f t="shared" si="172"/>
        <v>35.070579180000003</v>
      </c>
      <c r="AW98" s="240">
        <f t="shared" si="173"/>
        <v>35.070579180000003</v>
      </c>
      <c r="AX98" s="240">
        <f t="shared" si="174"/>
        <v>140.28231672000001</v>
      </c>
      <c r="AY98" s="224">
        <f>5000/1000/4</f>
        <v>1.25</v>
      </c>
      <c r="AZ98" s="224">
        <f t="shared" si="176"/>
        <v>3.5</v>
      </c>
      <c r="BA98" s="225">
        <f t="shared" si="177"/>
        <v>5</v>
      </c>
      <c r="BB98" s="224">
        <f t="shared" si="178"/>
        <v>3.5</v>
      </c>
      <c r="BC98" s="240"/>
      <c r="BD98" s="240"/>
      <c r="BE98" s="250"/>
      <c r="BF98" s="240">
        <f t="shared" si="179"/>
        <v>4.75</v>
      </c>
      <c r="BG98" s="240">
        <f t="shared" si="180"/>
        <v>1.25</v>
      </c>
      <c r="BH98" s="240">
        <f t="shared" si="181"/>
        <v>6.25</v>
      </c>
      <c r="BI98" s="240">
        <f t="shared" si="182"/>
        <v>4.75</v>
      </c>
      <c r="BJ98" s="240">
        <f t="shared" si="183"/>
        <v>17</v>
      </c>
      <c r="BK98" s="240">
        <f t="shared" si="184"/>
        <v>1.4677499999999999</v>
      </c>
      <c r="BL98" s="240">
        <f t="shared" si="185"/>
        <v>0.38624999999999998</v>
      </c>
      <c r="BM98" s="240">
        <f t="shared" si="186"/>
        <v>1.9312499999999999</v>
      </c>
      <c r="BN98" s="240">
        <f t="shared" si="187"/>
        <v>1.4677499999999999</v>
      </c>
      <c r="BO98" s="240">
        <f t="shared" si="188"/>
        <v>5.2529999999999992</v>
      </c>
      <c r="BP98" s="240">
        <f t="shared" si="189"/>
        <v>6.2177499999999997</v>
      </c>
      <c r="BQ98" s="240">
        <f t="shared" si="190"/>
        <v>1.63625</v>
      </c>
      <c r="BR98" s="240">
        <f t="shared" si="191"/>
        <v>8.1812500000000004</v>
      </c>
      <c r="BS98" s="240">
        <f t="shared" si="192"/>
        <v>6.2177499999999997</v>
      </c>
      <c r="BT98" s="240">
        <f t="shared" si="193"/>
        <v>22.252999999999997</v>
      </c>
    </row>
    <row r="99" spans="1:72" ht="18" customHeight="1" x14ac:dyDescent="0.2">
      <c r="A99" s="243" t="s">
        <v>975</v>
      </c>
      <c r="B99" s="228" t="s">
        <v>976</v>
      </c>
      <c r="C99" s="229" t="s">
        <v>992</v>
      </c>
      <c r="D99" s="248" t="s">
        <v>993</v>
      </c>
      <c r="E99" s="302">
        <v>1</v>
      </c>
      <c r="F99" s="302" t="s">
        <v>923</v>
      </c>
      <c r="G99" s="219">
        <v>2</v>
      </c>
      <c r="H99" s="275">
        <v>1.1100000000000001</v>
      </c>
      <c r="I99" s="238">
        <v>9100</v>
      </c>
      <c r="J99" s="235">
        <f t="shared" si="147"/>
        <v>10101</v>
      </c>
      <c r="K99" s="275"/>
      <c r="L99" s="238"/>
      <c r="M99" s="245"/>
      <c r="N99" s="238"/>
      <c r="O99" s="245"/>
      <c r="P99" s="238"/>
      <c r="Q99" s="246">
        <v>20</v>
      </c>
      <c r="R99" s="238">
        <f t="shared" si="148"/>
        <v>2020.2</v>
      </c>
      <c r="S99" s="238">
        <f t="shared" si="149"/>
        <v>9696.9599999999991</v>
      </c>
      <c r="T99" s="238">
        <f t="shared" si="150"/>
        <v>9696.9599999999991</v>
      </c>
      <c r="U99" s="238">
        <f>ROUND((J99+L99+N99+P99+R99+S99+T99)*E99, 2)</f>
        <v>31515.119999999999</v>
      </c>
      <c r="V99" s="238">
        <f t="shared" si="151"/>
        <v>31515.119999999999</v>
      </c>
      <c r="W99" s="238"/>
      <c r="X99" s="238"/>
      <c r="Y99" s="299"/>
      <c r="Z99" s="219"/>
      <c r="AA99" s="219"/>
      <c r="AB99" s="238">
        <f t="shared" si="152"/>
        <v>2.6262599999999998</v>
      </c>
      <c r="AC99" s="240">
        <f t="shared" si="153"/>
        <v>34.141379999999998</v>
      </c>
      <c r="AD99" s="240">
        <f t="shared" si="154"/>
        <v>34.141379999999998</v>
      </c>
      <c r="AE99" s="240">
        <f t="shared" si="155"/>
        <v>34.141379999999998</v>
      </c>
      <c r="AF99" s="240">
        <f t="shared" si="156"/>
        <v>34.141379999999998</v>
      </c>
      <c r="AG99" s="240">
        <f t="shared" si="157"/>
        <v>34.141379999999998</v>
      </c>
      <c r="AH99" s="240">
        <f t="shared" si="158"/>
        <v>34.141379999999998</v>
      </c>
      <c r="AI99" s="240">
        <f t="shared" si="159"/>
        <v>34.141379999999998</v>
      </c>
      <c r="AJ99" s="240">
        <f t="shared" si="160"/>
        <v>34.141379999999998</v>
      </c>
      <c r="AK99" s="240">
        <f t="shared" si="161"/>
        <v>34.141379999999998</v>
      </c>
      <c r="AL99" s="240">
        <f t="shared" si="162"/>
        <v>34.141379999999998</v>
      </c>
      <c r="AM99" s="240">
        <f t="shared" si="163"/>
        <v>34.141379999999998</v>
      </c>
      <c r="AN99" s="240">
        <f t="shared" si="164"/>
        <v>34.141379999999998</v>
      </c>
      <c r="AO99" s="240">
        <f t="shared" si="165"/>
        <v>102.42413999999999</v>
      </c>
      <c r="AP99" s="240">
        <f t="shared" si="166"/>
        <v>102.42413999999999</v>
      </c>
      <c r="AQ99" s="240">
        <f t="shared" si="167"/>
        <v>102.42413999999999</v>
      </c>
      <c r="AR99" s="240">
        <f t="shared" si="168"/>
        <v>102.42413999999999</v>
      </c>
      <c r="AS99" s="240">
        <f t="shared" si="169"/>
        <v>409.69655999999998</v>
      </c>
      <c r="AT99" s="240">
        <f t="shared" si="170"/>
        <v>31.649059259999998</v>
      </c>
      <c r="AU99" s="240">
        <f t="shared" si="171"/>
        <v>31.649059259999998</v>
      </c>
      <c r="AV99" s="240">
        <f t="shared" si="172"/>
        <v>31.649059259999998</v>
      </c>
      <c r="AW99" s="240">
        <f t="shared" si="173"/>
        <v>31.649059259999998</v>
      </c>
      <c r="AX99" s="240">
        <f t="shared" si="174"/>
        <v>126.59623703999999</v>
      </c>
      <c r="AY99" s="224">
        <f>5000/1000/4</f>
        <v>1.25</v>
      </c>
      <c r="AZ99" s="224">
        <f t="shared" si="176"/>
        <v>3.5</v>
      </c>
      <c r="BA99" s="225">
        <f t="shared" si="177"/>
        <v>5</v>
      </c>
      <c r="BB99" s="224">
        <f t="shared" si="178"/>
        <v>3.5</v>
      </c>
      <c r="BC99" s="240"/>
      <c r="BD99" s="240"/>
      <c r="BE99" s="250"/>
      <c r="BF99" s="240">
        <f t="shared" si="179"/>
        <v>4.75</v>
      </c>
      <c r="BG99" s="240">
        <f t="shared" si="180"/>
        <v>1.25</v>
      </c>
      <c r="BH99" s="240">
        <f t="shared" si="181"/>
        <v>6.25</v>
      </c>
      <c r="BI99" s="240">
        <f t="shared" si="182"/>
        <v>4.75</v>
      </c>
      <c r="BJ99" s="240">
        <f t="shared" si="183"/>
        <v>17</v>
      </c>
      <c r="BK99" s="240">
        <f t="shared" si="184"/>
        <v>1.4677499999999999</v>
      </c>
      <c r="BL99" s="240">
        <f t="shared" si="185"/>
        <v>0.38624999999999998</v>
      </c>
      <c r="BM99" s="240">
        <f t="shared" si="186"/>
        <v>1.9312499999999999</v>
      </c>
      <c r="BN99" s="240">
        <f t="shared" si="187"/>
        <v>1.4677499999999999</v>
      </c>
      <c r="BO99" s="240">
        <f t="shared" si="188"/>
        <v>5.2529999999999992</v>
      </c>
      <c r="BP99" s="240">
        <f t="shared" si="189"/>
        <v>6.2177499999999997</v>
      </c>
      <c r="BQ99" s="240">
        <f t="shared" si="190"/>
        <v>1.63625</v>
      </c>
      <c r="BR99" s="240">
        <f t="shared" si="191"/>
        <v>8.1812500000000004</v>
      </c>
      <c r="BS99" s="240">
        <f t="shared" si="192"/>
        <v>6.2177499999999997</v>
      </c>
      <c r="BT99" s="240">
        <f t="shared" si="193"/>
        <v>22.252999999999997</v>
      </c>
    </row>
    <row r="100" spans="1:72" ht="17.25" customHeight="1" x14ac:dyDescent="0.2">
      <c r="A100" s="243" t="s">
        <v>975</v>
      </c>
      <c r="B100" s="228" t="s">
        <v>976</v>
      </c>
      <c r="C100" s="229" t="s">
        <v>911</v>
      </c>
      <c r="D100" s="229" t="s">
        <v>994</v>
      </c>
      <c r="E100" s="302">
        <v>1</v>
      </c>
      <c r="F100" s="302" t="s">
        <v>923</v>
      </c>
      <c r="G100" s="219">
        <v>2</v>
      </c>
      <c r="H100" s="275">
        <v>1.1100000000000001</v>
      </c>
      <c r="I100" s="238">
        <v>9100</v>
      </c>
      <c r="J100" s="238">
        <f t="shared" si="147"/>
        <v>10101</v>
      </c>
      <c r="K100" s="219">
        <v>4</v>
      </c>
      <c r="L100" s="238">
        <f>J100*K100%</f>
        <v>404.04</v>
      </c>
      <c r="M100" s="232"/>
      <c r="N100" s="238"/>
      <c r="O100" s="232"/>
      <c r="P100" s="238"/>
      <c r="Q100" s="246">
        <v>10</v>
      </c>
      <c r="R100" s="238">
        <f t="shared" si="148"/>
        <v>1050.5</v>
      </c>
      <c r="S100" s="238">
        <f t="shared" si="149"/>
        <v>9244.43</v>
      </c>
      <c r="T100" s="238">
        <f t="shared" si="150"/>
        <v>9244.43</v>
      </c>
      <c r="U100" s="238">
        <f>ROUND((J100+L100+N100+P100+R100+S100+T100)*E100/E100, 2)</f>
        <v>30044.400000000001</v>
      </c>
      <c r="V100" s="238">
        <f t="shared" si="151"/>
        <v>30044.400000000001</v>
      </c>
      <c r="W100" s="238"/>
      <c r="X100" s="238"/>
      <c r="Y100" s="301"/>
      <c r="Z100" s="256"/>
      <c r="AA100" s="256"/>
      <c r="AB100" s="234">
        <f t="shared" si="152"/>
        <v>2.5037000000000003</v>
      </c>
      <c r="AC100" s="240">
        <f t="shared" si="153"/>
        <v>32.548100000000005</v>
      </c>
      <c r="AD100" s="240">
        <f t="shared" si="154"/>
        <v>32.548100000000005</v>
      </c>
      <c r="AE100" s="240">
        <f t="shared" si="155"/>
        <v>32.548100000000005</v>
      </c>
      <c r="AF100" s="240">
        <f t="shared" si="156"/>
        <v>32.548100000000005</v>
      </c>
      <c r="AG100" s="240">
        <f t="shared" si="157"/>
        <v>32.548100000000005</v>
      </c>
      <c r="AH100" s="240">
        <f t="shared" si="158"/>
        <v>32.548100000000005</v>
      </c>
      <c r="AI100" s="240">
        <f t="shared" si="159"/>
        <v>32.548100000000005</v>
      </c>
      <c r="AJ100" s="240">
        <f t="shared" si="160"/>
        <v>32.548100000000005</v>
      </c>
      <c r="AK100" s="240">
        <f t="shared" si="161"/>
        <v>32.548100000000005</v>
      </c>
      <c r="AL100" s="240">
        <f t="shared" si="162"/>
        <v>32.548100000000005</v>
      </c>
      <c r="AM100" s="240">
        <f t="shared" si="163"/>
        <v>32.548100000000005</v>
      </c>
      <c r="AN100" s="240">
        <f t="shared" si="164"/>
        <v>32.548100000000005</v>
      </c>
      <c r="AO100" s="240">
        <f t="shared" si="165"/>
        <v>97.644300000000015</v>
      </c>
      <c r="AP100" s="240">
        <f t="shared" si="166"/>
        <v>97.644300000000015</v>
      </c>
      <c r="AQ100" s="240">
        <f t="shared" si="167"/>
        <v>97.644300000000015</v>
      </c>
      <c r="AR100" s="240">
        <f t="shared" si="168"/>
        <v>97.644300000000015</v>
      </c>
      <c r="AS100" s="240">
        <f t="shared" si="169"/>
        <v>390.57720000000006</v>
      </c>
      <c r="AT100" s="240">
        <f t="shared" si="170"/>
        <v>30.172088700000003</v>
      </c>
      <c r="AU100" s="240">
        <f t="shared" si="171"/>
        <v>30.172088700000003</v>
      </c>
      <c r="AV100" s="240">
        <f t="shared" si="172"/>
        <v>30.172088700000003</v>
      </c>
      <c r="AW100" s="240">
        <f t="shared" si="173"/>
        <v>30.172088700000003</v>
      </c>
      <c r="AX100" s="240">
        <f t="shared" si="174"/>
        <v>120.68835480000001</v>
      </c>
      <c r="AY100" s="224"/>
      <c r="AZ100" s="224"/>
      <c r="BA100" s="225"/>
      <c r="BB100" s="224"/>
      <c r="BC100" s="240"/>
      <c r="BD100" s="240"/>
      <c r="BE100" s="250"/>
      <c r="BF100" s="240">
        <f t="shared" si="179"/>
        <v>0</v>
      </c>
      <c r="BG100" s="240">
        <f t="shared" si="180"/>
        <v>0</v>
      </c>
      <c r="BH100" s="240">
        <f t="shared" si="181"/>
        <v>0</v>
      </c>
      <c r="BI100" s="240">
        <f t="shared" si="182"/>
        <v>0</v>
      </c>
      <c r="BJ100" s="240">
        <f t="shared" si="183"/>
        <v>0</v>
      </c>
      <c r="BK100" s="240">
        <f t="shared" si="184"/>
        <v>0</v>
      </c>
      <c r="BL100" s="240">
        <f t="shared" si="185"/>
        <v>0</v>
      </c>
      <c r="BM100" s="240">
        <f t="shared" si="186"/>
        <v>0</v>
      </c>
      <c r="BN100" s="240">
        <f t="shared" si="187"/>
        <v>0</v>
      </c>
      <c r="BO100" s="240">
        <f t="shared" si="188"/>
        <v>0</v>
      </c>
      <c r="BP100" s="240">
        <f t="shared" si="189"/>
        <v>0</v>
      </c>
      <c r="BQ100" s="240">
        <f t="shared" si="190"/>
        <v>0</v>
      </c>
      <c r="BR100" s="240">
        <f t="shared" si="191"/>
        <v>0</v>
      </c>
      <c r="BS100" s="240">
        <f t="shared" si="192"/>
        <v>0</v>
      </c>
      <c r="BT100" s="240">
        <f t="shared" si="193"/>
        <v>0</v>
      </c>
    </row>
    <row r="101" spans="1:72" ht="17.25" customHeight="1" x14ac:dyDescent="0.2">
      <c r="A101" s="243" t="s">
        <v>975</v>
      </c>
      <c r="B101" s="228" t="s">
        <v>976</v>
      </c>
      <c r="C101" s="229" t="s">
        <v>911</v>
      </c>
      <c r="D101" s="229" t="s">
        <v>994</v>
      </c>
      <c r="E101" s="302">
        <v>1</v>
      </c>
      <c r="F101" s="302" t="s">
        <v>923</v>
      </c>
      <c r="G101" s="219">
        <v>2</v>
      </c>
      <c r="H101" s="275">
        <v>1.1100000000000001</v>
      </c>
      <c r="I101" s="238">
        <v>9100</v>
      </c>
      <c r="J101" s="238">
        <f t="shared" si="147"/>
        <v>10101</v>
      </c>
      <c r="K101" s="219">
        <v>4</v>
      </c>
      <c r="L101" s="238">
        <f>J101*K101%</f>
        <v>404.04</v>
      </c>
      <c r="M101" s="232"/>
      <c r="N101" s="238"/>
      <c r="O101" s="232"/>
      <c r="P101" s="238"/>
      <c r="Q101" s="246">
        <v>10</v>
      </c>
      <c r="R101" s="238">
        <f t="shared" si="148"/>
        <v>1050.5</v>
      </c>
      <c r="S101" s="238">
        <f t="shared" si="149"/>
        <v>9244.43</v>
      </c>
      <c r="T101" s="238">
        <f t="shared" si="150"/>
        <v>9244.43</v>
      </c>
      <c r="U101" s="238">
        <f>ROUND((J101+L101+N101+P101+R101+S101+T101)*E101/E101, 2)</f>
        <v>30044.400000000001</v>
      </c>
      <c r="V101" s="238">
        <f t="shared" si="151"/>
        <v>30044.400000000001</v>
      </c>
      <c r="W101" s="238"/>
      <c r="X101" s="238"/>
      <c r="Y101" s="301"/>
      <c r="Z101" s="256"/>
      <c r="AA101" s="256"/>
      <c r="AB101" s="234">
        <f t="shared" si="152"/>
        <v>2.5037000000000003</v>
      </c>
      <c r="AC101" s="240">
        <f t="shared" si="153"/>
        <v>32.548100000000005</v>
      </c>
      <c r="AD101" s="240">
        <f t="shared" si="154"/>
        <v>32.548100000000005</v>
      </c>
      <c r="AE101" s="240">
        <f t="shared" si="155"/>
        <v>32.548100000000005</v>
      </c>
      <c r="AF101" s="240">
        <f t="shared" si="156"/>
        <v>32.548100000000005</v>
      </c>
      <c r="AG101" s="240">
        <f t="shared" si="157"/>
        <v>32.548100000000005</v>
      </c>
      <c r="AH101" s="240">
        <f t="shared" si="158"/>
        <v>32.548100000000005</v>
      </c>
      <c r="AI101" s="240">
        <f t="shared" si="159"/>
        <v>32.548100000000005</v>
      </c>
      <c r="AJ101" s="240">
        <f t="shared" si="160"/>
        <v>32.548100000000005</v>
      </c>
      <c r="AK101" s="240">
        <f t="shared" si="161"/>
        <v>32.548100000000005</v>
      </c>
      <c r="AL101" s="240">
        <f t="shared" si="162"/>
        <v>32.548100000000005</v>
      </c>
      <c r="AM101" s="240">
        <f t="shared" si="163"/>
        <v>32.548100000000005</v>
      </c>
      <c r="AN101" s="240">
        <f t="shared" si="164"/>
        <v>32.548100000000005</v>
      </c>
      <c r="AO101" s="240">
        <f t="shared" si="165"/>
        <v>97.644300000000015</v>
      </c>
      <c r="AP101" s="240">
        <f t="shared" si="166"/>
        <v>97.644300000000015</v>
      </c>
      <c r="AQ101" s="240">
        <f t="shared" si="167"/>
        <v>97.644300000000015</v>
      </c>
      <c r="AR101" s="240">
        <f t="shared" si="168"/>
        <v>97.644300000000015</v>
      </c>
      <c r="AS101" s="240">
        <f t="shared" si="169"/>
        <v>390.57720000000006</v>
      </c>
      <c r="AT101" s="240">
        <f t="shared" si="170"/>
        <v>30.172088700000003</v>
      </c>
      <c r="AU101" s="240">
        <f t="shared" si="171"/>
        <v>30.172088700000003</v>
      </c>
      <c r="AV101" s="240">
        <f t="shared" si="172"/>
        <v>30.172088700000003</v>
      </c>
      <c r="AW101" s="240">
        <f t="shared" si="173"/>
        <v>30.172088700000003</v>
      </c>
      <c r="AX101" s="240">
        <f t="shared" si="174"/>
        <v>120.68835480000001</v>
      </c>
      <c r="AY101" s="224"/>
      <c r="AZ101" s="224"/>
      <c r="BA101" s="225"/>
      <c r="BB101" s="224"/>
      <c r="BC101" s="240"/>
      <c r="BD101" s="240"/>
      <c r="BE101" s="250"/>
      <c r="BF101" s="240">
        <f t="shared" si="179"/>
        <v>0</v>
      </c>
      <c r="BG101" s="240">
        <f t="shared" si="180"/>
        <v>0</v>
      </c>
      <c r="BH101" s="240">
        <f t="shared" si="181"/>
        <v>0</v>
      </c>
      <c r="BI101" s="240">
        <f t="shared" si="182"/>
        <v>0</v>
      </c>
      <c r="BJ101" s="240">
        <f t="shared" si="183"/>
        <v>0</v>
      </c>
      <c r="BK101" s="240">
        <f t="shared" si="184"/>
        <v>0</v>
      </c>
      <c r="BL101" s="240">
        <f t="shared" si="185"/>
        <v>0</v>
      </c>
      <c r="BM101" s="240">
        <f t="shared" si="186"/>
        <v>0</v>
      </c>
      <c r="BN101" s="240">
        <f t="shared" si="187"/>
        <v>0</v>
      </c>
      <c r="BO101" s="240">
        <f t="shared" si="188"/>
        <v>0</v>
      </c>
      <c r="BP101" s="240">
        <f t="shared" si="189"/>
        <v>0</v>
      </c>
      <c r="BQ101" s="240">
        <f t="shared" si="190"/>
        <v>0</v>
      </c>
      <c r="BR101" s="240">
        <f t="shared" si="191"/>
        <v>0</v>
      </c>
      <c r="BS101" s="240">
        <f t="shared" si="192"/>
        <v>0</v>
      </c>
      <c r="BT101" s="240">
        <f t="shared" si="193"/>
        <v>0</v>
      </c>
    </row>
    <row r="102" spans="1:72" ht="29.25" customHeight="1" x14ac:dyDescent="0.2">
      <c r="A102" s="243" t="s">
        <v>975</v>
      </c>
      <c r="B102" s="228" t="s">
        <v>976</v>
      </c>
      <c r="C102" s="229" t="s">
        <v>995</v>
      </c>
      <c r="D102" s="248" t="s">
        <v>996</v>
      </c>
      <c r="E102" s="302">
        <v>1</v>
      </c>
      <c r="F102" s="302" t="s">
        <v>923</v>
      </c>
      <c r="G102" s="219">
        <v>2</v>
      </c>
      <c r="H102" s="275">
        <v>1.1100000000000001</v>
      </c>
      <c r="I102" s="238">
        <v>9100</v>
      </c>
      <c r="J102" s="238">
        <f t="shared" si="147"/>
        <v>10101</v>
      </c>
      <c r="K102" s="219">
        <v>4</v>
      </c>
      <c r="L102" s="238">
        <f>J102*K102%</f>
        <v>404.04</v>
      </c>
      <c r="M102" s="304"/>
      <c r="N102" s="237"/>
      <c r="O102" s="232"/>
      <c r="P102" s="238"/>
      <c r="Q102" s="246">
        <v>10</v>
      </c>
      <c r="R102" s="238">
        <f t="shared" si="148"/>
        <v>1050.5</v>
      </c>
      <c r="S102" s="238">
        <f t="shared" si="149"/>
        <v>9244.43</v>
      </c>
      <c r="T102" s="238">
        <f t="shared" si="150"/>
        <v>9244.43</v>
      </c>
      <c r="U102" s="238">
        <f>ROUND((J102+L102+N102+P102+R102+S102+T102)*E102, 2)</f>
        <v>30044.400000000001</v>
      </c>
      <c r="V102" s="238">
        <f t="shared" si="151"/>
        <v>30044.400000000001</v>
      </c>
      <c r="W102" s="238"/>
      <c r="X102" s="238"/>
      <c r="Y102" s="316"/>
      <c r="Z102" s="256"/>
      <c r="AA102" s="256"/>
      <c r="AB102" s="234">
        <f t="shared" si="152"/>
        <v>2.5037000000000003</v>
      </c>
      <c r="AC102" s="240">
        <f t="shared" si="153"/>
        <v>32.548100000000005</v>
      </c>
      <c r="AD102" s="240">
        <f t="shared" si="154"/>
        <v>32.548100000000005</v>
      </c>
      <c r="AE102" s="240">
        <f t="shared" si="155"/>
        <v>32.548100000000005</v>
      </c>
      <c r="AF102" s="240">
        <f t="shared" si="156"/>
        <v>32.548100000000005</v>
      </c>
      <c r="AG102" s="240">
        <f t="shared" si="157"/>
        <v>32.548100000000005</v>
      </c>
      <c r="AH102" s="240">
        <f t="shared" si="158"/>
        <v>32.548100000000005</v>
      </c>
      <c r="AI102" s="240">
        <f t="shared" si="159"/>
        <v>32.548100000000005</v>
      </c>
      <c r="AJ102" s="240">
        <f t="shared" si="160"/>
        <v>32.548100000000005</v>
      </c>
      <c r="AK102" s="240">
        <f t="shared" si="161"/>
        <v>32.548100000000005</v>
      </c>
      <c r="AL102" s="240">
        <f t="shared" si="162"/>
        <v>32.548100000000005</v>
      </c>
      <c r="AM102" s="240">
        <f t="shared" si="163"/>
        <v>32.548100000000005</v>
      </c>
      <c r="AN102" s="240">
        <f t="shared" si="164"/>
        <v>32.548100000000005</v>
      </c>
      <c r="AO102" s="240">
        <f t="shared" si="165"/>
        <v>97.644300000000015</v>
      </c>
      <c r="AP102" s="240">
        <f t="shared" si="166"/>
        <v>97.644300000000015</v>
      </c>
      <c r="AQ102" s="240">
        <f t="shared" si="167"/>
        <v>97.644300000000015</v>
      </c>
      <c r="AR102" s="240">
        <f t="shared" si="168"/>
        <v>97.644300000000015</v>
      </c>
      <c r="AS102" s="240">
        <f t="shared" si="169"/>
        <v>390.57720000000006</v>
      </c>
      <c r="AT102" s="240">
        <f t="shared" si="170"/>
        <v>30.172088700000003</v>
      </c>
      <c r="AU102" s="240">
        <f t="shared" si="171"/>
        <v>30.172088700000003</v>
      </c>
      <c r="AV102" s="240">
        <f t="shared" si="172"/>
        <v>30.172088700000003</v>
      </c>
      <c r="AW102" s="240">
        <f t="shared" si="173"/>
        <v>30.172088700000003</v>
      </c>
      <c r="AX102" s="240">
        <f t="shared" si="174"/>
        <v>120.68835480000001</v>
      </c>
      <c r="AY102" s="224">
        <f>5000/1000/4</f>
        <v>1.25</v>
      </c>
      <c r="AZ102" s="224">
        <f>3500/1000</f>
        <v>3.5</v>
      </c>
      <c r="BA102" s="225">
        <f>5000/1000</f>
        <v>5</v>
      </c>
      <c r="BB102" s="224">
        <f>3500/1000</f>
        <v>3.5</v>
      </c>
      <c r="BC102" s="240"/>
      <c r="BD102" s="240"/>
      <c r="BE102" s="250"/>
      <c r="BF102" s="240">
        <f t="shared" si="179"/>
        <v>4.75</v>
      </c>
      <c r="BG102" s="240">
        <f t="shared" si="180"/>
        <v>1.25</v>
      </c>
      <c r="BH102" s="240">
        <f t="shared" si="181"/>
        <v>6.25</v>
      </c>
      <c r="BI102" s="240">
        <f t="shared" si="182"/>
        <v>4.75</v>
      </c>
      <c r="BJ102" s="240">
        <f t="shared" si="183"/>
        <v>17</v>
      </c>
      <c r="BK102" s="240">
        <f t="shared" si="184"/>
        <v>1.4677499999999999</v>
      </c>
      <c r="BL102" s="240">
        <f t="shared" si="185"/>
        <v>0.38624999999999998</v>
      </c>
      <c r="BM102" s="240">
        <f t="shared" si="186"/>
        <v>1.9312499999999999</v>
      </c>
      <c r="BN102" s="240">
        <f t="shared" si="187"/>
        <v>1.4677499999999999</v>
      </c>
      <c r="BO102" s="240">
        <f t="shared" si="188"/>
        <v>5.2529999999999992</v>
      </c>
      <c r="BP102" s="240">
        <f t="shared" si="189"/>
        <v>6.2177499999999997</v>
      </c>
      <c r="BQ102" s="240">
        <f t="shared" si="190"/>
        <v>1.63625</v>
      </c>
      <c r="BR102" s="240">
        <f t="shared" si="191"/>
        <v>8.1812500000000004</v>
      </c>
      <c r="BS102" s="240">
        <f t="shared" si="192"/>
        <v>6.2177499999999997</v>
      </c>
      <c r="BT102" s="240">
        <f t="shared" si="193"/>
        <v>22.252999999999997</v>
      </c>
    </row>
    <row r="103" spans="1:72" s="318" customFormat="1" ht="17.25" customHeight="1" x14ac:dyDescent="0.2">
      <c r="A103" s="319"/>
      <c r="B103" s="320"/>
      <c r="C103" s="265" t="s">
        <v>915</v>
      </c>
      <c r="D103" s="265"/>
      <c r="E103" s="321">
        <f>SUM(E86:E102)</f>
        <v>17</v>
      </c>
      <c r="F103" s="321"/>
      <c r="G103" s="322"/>
      <c r="H103" s="323"/>
      <c r="I103" s="267"/>
      <c r="J103" s="267">
        <f>SUM(J86:J102)</f>
        <v>209664</v>
      </c>
      <c r="K103" s="322"/>
      <c r="L103" s="267">
        <f>SUM(L86:L102)</f>
        <v>1212.1200000000001</v>
      </c>
      <c r="M103" s="268"/>
      <c r="N103" s="267">
        <f>SUM(N86:N102)</f>
        <v>0</v>
      </c>
      <c r="O103" s="268"/>
      <c r="P103" s="267">
        <f>SUM(P86:P102)</f>
        <v>18115.05333333333</v>
      </c>
      <c r="Q103" s="324"/>
      <c r="R103" s="267">
        <f>SUM(R86:R102)</f>
        <v>52653.68</v>
      </c>
      <c r="S103" s="267">
        <f>SUM(S86:S102)</f>
        <v>225315.87</v>
      </c>
      <c r="T103" s="267">
        <f>SUM(T86:T102)</f>
        <v>225315.87</v>
      </c>
      <c r="U103" s="267">
        <f>SUM(U86:U102)</f>
        <v>732276.5900000002</v>
      </c>
      <c r="V103" s="267">
        <f>SUM(V86:V102)</f>
        <v>732276.5900000002</v>
      </c>
      <c r="W103" s="267"/>
      <c r="X103" s="267"/>
      <c r="Y103" s="269"/>
      <c r="Z103" s="270"/>
      <c r="AA103" s="270"/>
      <c r="AB103" s="271"/>
      <c r="AC103" s="272">
        <f t="shared" ref="AC103:BT103" si="195">SUM(AC86:AC102)</f>
        <v>793.29963916666645</v>
      </c>
      <c r="AD103" s="272">
        <f t="shared" si="195"/>
        <v>793.29963916666645</v>
      </c>
      <c r="AE103" s="272">
        <f t="shared" si="195"/>
        <v>793.29963916666645</v>
      </c>
      <c r="AF103" s="272">
        <f t="shared" si="195"/>
        <v>793.29963916666645</v>
      </c>
      <c r="AG103" s="272">
        <f t="shared" si="195"/>
        <v>793.29963916666645</v>
      </c>
      <c r="AH103" s="272">
        <f t="shared" si="195"/>
        <v>793.29963916666645</v>
      </c>
      <c r="AI103" s="272">
        <f t="shared" si="195"/>
        <v>793.29963916666645</v>
      </c>
      <c r="AJ103" s="272">
        <f t="shared" si="195"/>
        <v>793.29963916666645</v>
      </c>
      <c r="AK103" s="272">
        <f t="shared" si="195"/>
        <v>793.29963916666645</v>
      </c>
      <c r="AL103" s="272">
        <f t="shared" si="195"/>
        <v>793.29963916666645</v>
      </c>
      <c r="AM103" s="272">
        <f t="shared" si="195"/>
        <v>793.29963916666645</v>
      </c>
      <c r="AN103" s="272">
        <f t="shared" si="195"/>
        <v>793.29963916666645</v>
      </c>
      <c r="AO103" s="273">
        <f t="shared" si="195"/>
        <v>2379.8989175000002</v>
      </c>
      <c r="AP103" s="273">
        <f t="shared" si="195"/>
        <v>2379.8989175000002</v>
      </c>
      <c r="AQ103" s="273">
        <f t="shared" si="195"/>
        <v>2379.8989175000002</v>
      </c>
      <c r="AR103" s="273">
        <f t="shared" si="195"/>
        <v>2379.8989175000002</v>
      </c>
      <c r="AS103" s="273">
        <f t="shared" si="195"/>
        <v>9519.5956700000006</v>
      </c>
      <c r="AT103" s="273">
        <f t="shared" si="195"/>
        <v>735.38876550750001</v>
      </c>
      <c r="AU103" s="273">
        <f t="shared" si="195"/>
        <v>735.38876550750001</v>
      </c>
      <c r="AV103" s="273">
        <f t="shared" si="195"/>
        <v>735.38876550750001</v>
      </c>
      <c r="AW103" s="273">
        <f t="shared" si="195"/>
        <v>735.38876550750001</v>
      </c>
      <c r="AX103" s="273">
        <f t="shared" si="195"/>
        <v>2941.55506203</v>
      </c>
      <c r="AY103" s="273">
        <f t="shared" si="195"/>
        <v>17.5</v>
      </c>
      <c r="AZ103" s="273">
        <f t="shared" si="195"/>
        <v>52.5</v>
      </c>
      <c r="BA103" s="273">
        <f t="shared" si="195"/>
        <v>75</v>
      </c>
      <c r="BB103" s="273">
        <f t="shared" si="195"/>
        <v>52.5</v>
      </c>
      <c r="BC103" s="273">
        <f t="shared" si="195"/>
        <v>0</v>
      </c>
      <c r="BD103" s="273">
        <f t="shared" si="195"/>
        <v>0</v>
      </c>
      <c r="BE103" s="274">
        <f t="shared" si="195"/>
        <v>0</v>
      </c>
      <c r="BF103" s="273">
        <f t="shared" si="195"/>
        <v>70</v>
      </c>
      <c r="BG103" s="273">
        <f t="shared" si="195"/>
        <v>17.5</v>
      </c>
      <c r="BH103" s="273">
        <f t="shared" si="195"/>
        <v>92.5</v>
      </c>
      <c r="BI103" s="273">
        <f t="shared" si="195"/>
        <v>70</v>
      </c>
      <c r="BJ103" s="273">
        <f t="shared" si="195"/>
        <v>250</v>
      </c>
      <c r="BK103" s="273">
        <f t="shared" si="195"/>
        <v>21.629999999999995</v>
      </c>
      <c r="BL103" s="273">
        <f t="shared" si="195"/>
        <v>5.4075000000000006</v>
      </c>
      <c r="BM103" s="273">
        <f t="shared" si="195"/>
        <v>28.582499999999996</v>
      </c>
      <c r="BN103" s="273">
        <f t="shared" si="195"/>
        <v>21.629999999999995</v>
      </c>
      <c r="BO103" s="273">
        <f t="shared" si="195"/>
        <v>77.249999999999986</v>
      </c>
      <c r="BP103" s="273">
        <f t="shared" si="195"/>
        <v>91.63</v>
      </c>
      <c r="BQ103" s="273">
        <f t="shared" si="195"/>
        <v>22.907500000000002</v>
      </c>
      <c r="BR103" s="273">
        <f t="shared" si="195"/>
        <v>121.08250000000004</v>
      </c>
      <c r="BS103" s="273">
        <f t="shared" si="195"/>
        <v>91.63</v>
      </c>
      <c r="BT103" s="273">
        <f t="shared" si="195"/>
        <v>327.24999999999989</v>
      </c>
    </row>
    <row r="104" spans="1:72" ht="18" customHeight="1" x14ac:dyDescent="0.2">
      <c r="A104" s="325"/>
      <c r="B104" s="325"/>
      <c r="C104" s="326" t="s">
        <v>997</v>
      </c>
      <c r="D104" s="326"/>
      <c r="E104" s="303">
        <f>E25+E85+E103</f>
        <v>88.9</v>
      </c>
      <c r="F104" s="303"/>
      <c r="G104" s="327"/>
      <c r="H104" s="327"/>
      <c r="I104" s="237"/>
      <c r="J104" s="237">
        <f>J25+J85+J103</f>
        <v>1392372.8</v>
      </c>
      <c r="K104" s="327"/>
      <c r="L104" s="237">
        <f>L25+L85+L103</f>
        <v>8892.52</v>
      </c>
      <c r="M104" s="327"/>
      <c r="N104" s="237">
        <f>N25+N85+N103</f>
        <v>2798.25</v>
      </c>
      <c r="O104" s="327"/>
      <c r="P104" s="237">
        <f>P25+P85+P103</f>
        <v>66915.293333333364</v>
      </c>
      <c r="Q104" s="237"/>
      <c r="R104" s="237">
        <f>R25+R85+R103</f>
        <v>383363.2799999998</v>
      </c>
      <c r="S104" s="237">
        <f>S25+S85+S103</f>
        <v>1483473.7300000009</v>
      </c>
      <c r="T104" s="237">
        <f>T25+T85+T103</f>
        <v>1483473.7300000009</v>
      </c>
      <c r="U104" s="237">
        <f>U25+U85+U103</f>
        <v>4699762.3899999997</v>
      </c>
      <c r="V104" s="237">
        <f>V25+V85+V103</f>
        <v>4699762.3899999997</v>
      </c>
      <c r="W104" s="237"/>
      <c r="X104" s="237"/>
      <c r="Y104" s="316"/>
      <c r="Z104" s="256"/>
      <c r="AA104" s="256"/>
      <c r="AB104" s="234"/>
      <c r="AC104" s="240">
        <f t="shared" ref="AC104:BT104" si="196">AC25+AC85+AC103</f>
        <v>3077.368150166667</v>
      </c>
      <c r="AD104" s="240">
        <f t="shared" si="196"/>
        <v>3382.5367229666672</v>
      </c>
      <c r="AE104" s="240">
        <f t="shared" si="196"/>
        <v>3382.5367229666672</v>
      </c>
      <c r="AF104" s="240">
        <f t="shared" si="196"/>
        <v>4760.1409601666664</v>
      </c>
      <c r="AG104" s="240">
        <f t="shared" si="196"/>
        <v>4760.1409601666664</v>
      </c>
      <c r="AH104" s="240">
        <f t="shared" si="196"/>
        <v>5560.1409601666674</v>
      </c>
      <c r="AI104" s="240">
        <f t="shared" si="196"/>
        <v>5960.1409601666664</v>
      </c>
      <c r="AJ104" s="240">
        <f t="shared" si="196"/>
        <v>5960.1409601666664</v>
      </c>
      <c r="AK104" s="240">
        <f t="shared" si="196"/>
        <v>8246.6421694294659</v>
      </c>
      <c r="AL104" s="240">
        <f t="shared" si="196"/>
        <v>3077.368150166667</v>
      </c>
      <c r="AM104" s="240">
        <f t="shared" si="196"/>
        <v>3077.368150166667</v>
      </c>
      <c r="AN104" s="240">
        <f t="shared" si="196"/>
        <v>3077.368150166667</v>
      </c>
      <c r="AO104" s="328">
        <f t="shared" si="196"/>
        <v>9842.4415960999995</v>
      </c>
      <c r="AP104" s="328">
        <f t="shared" si="196"/>
        <v>15080.422880500008</v>
      </c>
      <c r="AQ104" s="328">
        <f t="shared" si="196"/>
        <v>20166.924089762808</v>
      </c>
      <c r="AR104" s="328">
        <f t="shared" si="196"/>
        <v>9232.1044504999991</v>
      </c>
      <c r="AS104" s="329">
        <f t="shared" si="196"/>
        <v>54321.893016862785</v>
      </c>
      <c r="AT104" s="328">
        <f t="shared" si="196"/>
        <v>3041.1475931948994</v>
      </c>
      <c r="AU104" s="328">
        <f t="shared" si="196"/>
        <v>4659.6838100744999</v>
      </c>
      <c r="AV104" s="328">
        <f t="shared" si="196"/>
        <v>6231.4126837367039</v>
      </c>
      <c r="AW104" s="328">
        <f t="shared" si="196"/>
        <v>2852.5534152044997</v>
      </c>
      <c r="AX104" s="329">
        <f t="shared" si="196"/>
        <v>16784.797502210597</v>
      </c>
      <c r="AY104" s="328">
        <f t="shared" si="196"/>
        <v>61.25</v>
      </c>
      <c r="AZ104" s="328">
        <f t="shared" si="196"/>
        <v>175</v>
      </c>
      <c r="BA104" s="328">
        <f t="shared" si="196"/>
        <v>250</v>
      </c>
      <c r="BB104" s="328">
        <f t="shared" si="196"/>
        <v>175</v>
      </c>
      <c r="BC104" s="328">
        <f t="shared" si="196"/>
        <v>30</v>
      </c>
      <c r="BD104" s="328">
        <f t="shared" si="196"/>
        <v>0</v>
      </c>
      <c r="BE104" s="330">
        <f t="shared" si="196"/>
        <v>10</v>
      </c>
      <c r="BF104" s="328">
        <f t="shared" si="196"/>
        <v>246.25</v>
      </c>
      <c r="BG104" s="328">
        <f t="shared" si="196"/>
        <v>61.25</v>
      </c>
      <c r="BH104" s="328">
        <f t="shared" si="196"/>
        <v>341.25</v>
      </c>
      <c r="BI104" s="328">
        <f t="shared" si="196"/>
        <v>236.25</v>
      </c>
      <c r="BJ104" s="328">
        <f t="shared" si="196"/>
        <v>885</v>
      </c>
      <c r="BK104" s="328">
        <f t="shared" si="196"/>
        <v>73.001249999999985</v>
      </c>
      <c r="BL104" s="328">
        <f t="shared" si="196"/>
        <v>18.926250000000003</v>
      </c>
      <c r="BM104" s="328">
        <f t="shared" si="196"/>
        <v>105.44624999999998</v>
      </c>
      <c r="BN104" s="328">
        <f t="shared" si="196"/>
        <v>73.001249999999985</v>
      </c>
      <c r="BO104" s="328">
        <f t="shared" si="196"/>
        <v>270.375</v>
      </c>
      <c r="BP104" s="328">
        <f t="shared" si="196"/>
        <v>319.25124999999991</v>
      </c>
      <c r="BQ104" s="328">
        <f t="shared" si="196"/>
        <v>80.176249999999996</v>
      </c>
      <c r="BR104" s="328">
        <f t="shared" si="196"/>
        <v>446.69625000000013</v>
      </c>
      <c r="BS104" s="328">
        <f t="shared" si="196"/>
        <v>309.25124999999991</v>
      </c>
      <c r="BT104" s="328">
        <f t="shared" si="196"/>
        <v>1155.3749999999995</v>
      </c>
    </row>
    <row r="105" spans="1:72" x14ac:dyDescent="0.2">
      <c r="A105" s="331"/>
      <c r="B105" s="331"/>
      <c r="C105" s="332"/>
      <c r="D105" s="332"/>
      <c r="T105" s="333"/>
      <c r="U105" s="333"/>
      <c r="V105" s="334"/>
      <c r="W105" s="334"/>
      <c r="X105" s="334"/>
      <c r="AQ105" s="198" t="s">
        <v>998</v>
      </c>
      <c r="AS105" s="335">
        <f>'[8]Расходы на персонал'!$AT$108</f>
        <v>51326.30107607635</v>
      </c>
      <c r="AT105" s="198" t="s">
        <v>999</v>
      </c>
    </row>
    <row r="106" spans="1:72" x14ac:dyDescent="0.2">
      <c r="A106" s="332"/>
      <c r="B106" s="332"/>
      <c r="C106" s="332"/>
      <c r="D106" s="332"/>
      <c r="E106" s="332"/>
      <c r="F106" s="332"/>
      <c r="G106" s="332"/>
      <c r="H106" s="332"/>
      <c r="I106" s="332"/>
      <c r="AQ106" s="198" t="s">
        <v>1000</v>
      </c>
      <c r="AS106" s="335">
        <f>AS104-AS105</f>
        <v>2995.5919407864349</v>
      </c>
      <c r="AT106" s="198" t="s">
        <v>1001</v>
      </c>
    </row>
    <row r="107" spans="1:72" x14ac:dyDescent="0.2">
      <c r="A107" s="332"/>
      <c r="B107" s="332"/>
      <c r="C107" s="332"/>
      <c r="D107" s="332"/>
      <c r="E107" s="332"/>
      <c r="F107" s="332"/>
      <c r="G107" s="332"/>
      <c r="H107" s="332"/>
      <c r="I107" s="332"/>
      <c r="AQ107" s="198" t="s">
        <v>1002</v>
      </c>
      <c r="AS107" s="335">
        <f>AS103-'[8]Расходы на персонал'!$AT$107</f>
        <v>2209.9610699999967</v>
      </c>
      <c r="AT107" s="198" t="s">
        <v>1003</v>
      </c>
    </row>
    <row r="108" spans="1:72" x14ac:dyDescent="0.2">
      <c r="A108" s="332"/>
      <c r="B108" s="332"/>
      <c r="C108" s="332"/>
      <c r="D108" s="332"/>
      <c r="E108" s="332"/>
      <c r="F108" s="332"/>
      <c r="G108" s="332"/>
      <c r="H108" s="332"/>
      <c r="I108" s="332"/>
      <c r="AQ108" s="198" t="s">
        <v>1004</v>
      </c>
      <c r="AS108" s="335">
        <f>AS106-AS107</f>
        <v>785.63087078643821</v>
      </c>
      <c r="AT108" s="198" t="s">
        <v>1005</v>
      </c>
    </row>
    <row r="109" spans="1:72" x14ac:dyDescent="0.2">
      <c r="A109" s="332"/>
      <c r="B109" s="332"/>
      <c r="C109" s="332"/>
      <c r="D109" s="332"/>
      <c r="E109" s="332"/>
      <c r="F109" s="332"/>
      <c r="G109" s="332"/>
      <c r="H109" s="332"/>
      <c r="I109" s="332"/>
      <c r="AT109" s="198" t="s">
        <v>1006</v>
      </c>
    </row>
    <row r="110" spans="1:72" x14ac:dyDescent="0.2">
      <c r="A110" s="332"/>
      <c r="B110" s="332"/>
      <c r="C110" s="332"/>
      <c r="D110" s="332"/>
      <c r="E110" s="332"/>
      <c r="F110" s="332"/>
      <c r="G110" s="332"/>
      <c r="H110" s="332"/>
      <c r="I110" s="332"/>
      <c r="AT110" s="198" t="s">
        <v>1007</v>
      </c>
    </row>
    <row r="111" spans="1:72" x14ac:dyDescent="0.2">
      <c r="A111" s="332"/>
      <c r="B111" s="332"/>
      <c r="C111" s="332"/>
      <c r="D111" s="332"/>
      <c r="E111" s="332"/>
      <c r="F111" s="332"/>
      <c r="G111" s="332"/>
      <c r="H111" s="332"/>
      <c r="I111" s="332"/>
    </row>
    <row r="112" spans="1:72" ht="26.25" customHeight="1" x14ac:dyDescent="0.2">
      <c r="A112" s="332"/>
      <c r="B112" s="336"/>
      <c r="C112" s="336"/>
      <c r="D112" s="336"/>
      <c r="E112" s="336"/>
      <c r="F112" s="336"/>
      <c r="G112" s="336"/>
      <c r="H112" s="336"/>
      <c r="I112" s="336"/>
      <c r="J112" s="250"/>
      <c r="K112" s="250"/>
      <c r="L112" s="250"/>
      <c r="M112" s="250"/>
      <c r="N112" s="250"/>
      <c r="O112" s="250"/>
      <c r="P112" s="250"/>
      <c r="Q112" s="250"/>
      <c r="R112" s="250"/>
      <c r="S112" s="250"/>
      <c r="T112" s="250"/>
      <c r="U112" s="250"/>
      <c r="V112" s="250"/>
      <c r="W112" s="250"/>
      <c r="X112" s="661" t="s">
        <v>825</v>
      </c>
      <c r="Y112" s="662"/>
      <c r="Z112" s="662"/>
      <c r="AA112" s="662"/>
      <c r="AB112" s="662"/>
      <c r="AC112" s="662"/>
      <c r="AD112" s="662"/>
      <c r="AE112" s="662"/>
      <c r="AF112" s="662"/>
      <c r="AG112" s="662"/>
      <c r="AH112" s="662"/>
      <c r="AI112" s="662"/>
      <c r="AJ112" s="662"/>
      <c r="AK112" s="662"/>
      <c r="AL112" s="662"/>
      <c r="AM112" s="662"/>
      <c r="AN112" s="663"/>
      <c r="AO112" s="667" t="s">
        <v>1008</v>
      </c>
      <c r="AP112" s="668"/>
      <c r="AQ112" s="668"/>
      <c r="AR112" s="668"/>
      <c r="AS112" s="669"/>
      <c r="AT112" s="658" t="s">
        <v>1009</v>
      </c>
      <c r="AU112" s="659"/>
      <c r="AV112" s="659"/>
      <c r="AW112" s="659"/>
      <c r="AX112" s="660"/>
      <c r="AY112" s="250"/>
      <c r="AZ112" s="250"/>
      <c r="BA112" s="250"/>
      <c r="BB112" s="250"/>
      <c r="BC112" s="250"/>
      <c r="BD112" s="250"/>
      <c r="BE112" s="250"/>
      <c r="BF112" s="250"/>
      <c r="BG112" s="250"/>
      <c r="BH112" s="250"/>
      <c r="BI112" s="250"/>
      <c r="BJ112" s="250"/>
      <c r="BK112" s="250"/>
      <c r="BL112" s="250"/>
      <c r="BM112" s="250"/>
      <c r="BN112" s="250"/>
      <c r="BO112" s="250"/>
      <c r="BP112" s="250"/>
      <c r="BQ112" s="250"/>
      <c r="BR112" s="250"/>
      <c r="BS112" s="250"/>
      <c r="BT112" s="250"/>
    </row>
    <row r="113" spans="1:72" x14ac:dyDescent="0.2">
      <c r="A113" s="332"/>
      <c r="B113" s="337"/>
      <c r="C113" s="337"/>
      <c r="D113" s="337"/>
      <c r="E113" s="337"/>
      <c r="F113" s="337"/>
      <c r="G113" s="337"/>
      <c r="H113" s="337"/>
      <c r="I113" s="337"/>
      <c r="J113" s="337"/>
      <c r="K113" s="337"/>
      <c r="L113" s="337"/>
      <c r="M113" s="337"/>
      <c r="N113" s="337"/>
      <c r="O113" s="337"/>
      <c r="P113" s="337"/>
      <c r="Q113" s="337"/>
      <c r="R113" s="337"/>
      <c r="S113" s="337"/>
      <c r="T113" s="337"/>
      <c r="U113" s="337"/>
      <c r="V113" s="337"/>
      <c r="W113" s="337"/>
      <c r="X113" s="338" t="s">
        <v>1010</v>
      </c>
      <c r="Y113" s="339" t="s">
        <v>1011</v>
      </c>
      <c r="Z113" s="340" t="s">
        <v>1012</v>
      </c>
      <c r="AA113" s="340" t="s">
        <v>1013</v>
      </c>
      <c r="AB113" s="339" t="s">
        <v>44</v>
      </c>
      <c r="AC113" s="341" t="s">
        <v>1014</v>
      </c>
      <c r="AD113" s="341" t="s">
        <v>1015</v>
      </c>
      <c r="AE113" s="341" t="s">
        <v>853</v>
      </c>
      <c r="AF113" s="341" t="s">
        <v>1016</v>
      </c>
      <c r="AG113" s="341" t="s">
        <v>855</v>
      </c>
      <c r="AH113" s="341" t="s">
        <v>856</v>
      </c>
      <c r="AI113" s="341" t="s">
        <v>857</v>
      </c>
      <c r="AJ113" s="341" t="s">
        <v>1017</v>
      </c>
      <c r="AK113" s="341" t="s">
        <v>1018</v>
      </c>
      <c r="AL113" s="341" t="s">
        <v>1019</v>
      </c>
      <c r="AM113" s="341" t="s">
        <v>1020</v>
      </c>
      <c r="AN113" s="341" t="s">
        <v>1021</v>
      </c>
      <c r="AO113" s="342" t="s">
        <v>1010</v>
      </c>
      <c r="AP113" s="343" t="s">
        <v>1011</v>
      </c>
      <c r="AQ113" s="344" t="s">
        <v>1012</v>
      </c>
      <c r="AR113" s="344" t="s">
        <v>1013</v>
      </c>
      <c r="AS113" s="343" t="s">
        <v>44</v>
      </c>
      <c r="AT113" s="345" t="s">
        <v>1010</v>
      </c>
      <c r="AU113" s="346" t="s">
        <v>1011</v>
      </c>
      <c r="AV113" s="347" t="s">
        <v>1012</v>
      </c>
      <c r="AW113" s="347" t="s">
        <v>1013</v>
      </c>
      <c r="AX113" s="346" t="s">
        <v>44</v>
      </c>
      <c r="AY113" s="337"/>
      <c r="AZ113" s="337"/>
      <c r="BA113" s="337"/>
      <c r="BB113" s="337"/>
      <c r="BC113" s="337"/>
      <c r="BD113" s="337"/>
      <c r="BE113" s="337"/>
      <c r="BF113" s="337"/>
      <c r="BG113" s="337"/>
      <c r="BH113" s="337"/>
      <c r="BI113" s="337"/>
      <c r="BJ113" s="337"/>
      <c r="BK113" s="337"/>
      <c r="BL113" s="337"/>
      <c r="BM113" s="337"/>
      <c r="BN113" s="337"/>
      <c r="BO113" s="337"/>
      <c r="BP113" s="337"/>
      <c r="BQ113" s="337"/>
      <c r="BR113" s="337"/>
      <c r="BS113" s="337"/>
      <c r="BT113" s="337"/>
    </row>
    <row r="114" spans="1:72" ht="25.5" x14ac:dyDescent="0.2">
      <c r="A114" s="332"/>
      <c r="B114" s="348">
        <v>1</v>
      </c>
      <c r="C114" s="349" t="s">
        <v>1022</v>
      </c>
      <c r="D114" s="336"/>
      <c r="E114" s="336"/>
      <c r="F114" s="336"/>
      <c r="G114" s="336"/>
      <c r="H114" s="336"/>
      <c r="I114" s="336"/>
      <c r="J114" s="250"/>
      <c r="K114" s="250"/>
      <c r="L114" s="250"/>
      <c r="M114" s="250"/>
      <c r="N114" s="250"/>
      <c r="O114" s="250"/>
      <c r="P114" s="250"/>
      <c r="Q114" s="250"/>
      <c r="R114" s="250"/>
      <c r="S114" s="250"/>
      <c r="T114" s="250"/>
      <c r="U114" s="250"/>
      <c r="V114" s="250"/>
      <c r="W114" s="250"/>
      <c r="X114" s="350">
        <f>SUM(AC114:AE114)/3</f>
        <v>13.9</v>
      </c>
      <c r="Y114" s="350">
        <f>SUM(AF114:AH114)/3</f>
        <v>13.9</v>
      </c>
      <c r="Z114" s="351">
        <f>SUM(AI114:AK114)/3</f>
        <v>13.9</v>
      </c>
      <c r="AA114" s="351">
        <f>SUM(AL114:AN114)/3</f>
        <v>13.9</v>
      </c>
      <c r="AB114" s="352">
        <f>SUM(X114:AA114)/4</f>
        <v>13.9</v>
      </c>
      <c r="AC114" s="353">
        <f>E7+E8+E9+E10+E11+E12+E13+E14+E15+E16+E18+E19+E20+E21+E23+E24</f>
        <v>13.9</v>
      </c>
      <c r="AD114" s="353">
        <v>13.9</v>
      </c>
      <c r="AE114" s="353">
        <v>13.9</v>
      </c>
      <c r="AF114" s="353">
        <v>13.9</v>
      </c>
      <c r="AG114" s="353">
        <v>13.9</v>
      </c>
      <c r="AH114" s="353">
        <v>13.9</v>
      </c>
      <c r="AI114" s="353">
        <v>13.9</v>
      </c>
      <c r="AJ114" s="353">
        <v>13.9</v>
      </c>
      <c r="AK114" s="353">
        <v>13.9</v>
      </c>
      <c r="AL114" s="353">
        <v>13.9</v>
      </c>
      <c r="AM114" s="353">
        <v>13.9</v>
      </c>
      <c r="AN114" s="353">
        <v>13.9</v>
      </c>
      <c r="AO114" s="354">
        <f>AO25</f>
        <v>3165.6040254999998</v>
      </c>
      <c r="AP114" s="354">
        <f>AP25</f>
        <v>3165.6040254999998</v>
      </c>
      <c r="AQ114" s="354">
        <f>AQ25</f>
        <v>3255.5302255000001</v>
      </c>
      <c r="AR114" s="354">
        <f>AR25</f>
        <v>3165.6040254999998</v>
      </c>
      <c r="AS114" s="354">
        <f>SUM(AO114:AR114)</f>
        <v>12752.342302000001</v>
      </c>
      <c r="AT114" s="355">
        <f>AT25</f>
        <v>978.0047838795</v>
      </c>
      <c r="AU114" s="355">
        <f>AU25</f>
        <v>978.0047838795</v>
      </c>
      <c r="AV114" s="355">
        <f>AV25</f>
        <v>1005.7919796794999</v>
      </c>
      <c r="AW114" s="355">
        <f>AW25</f>
        <v>978.0047838795</v>
      </c>
      <c r="AX114" s="355">
        <f>SUM(AT114:AW114)</f>
        <v>3939.806331318</v>
      </c>
      <c r="AY114" s="250"/>
      <c r="AZ114" s="250"/>
      <c r="BA114" s="250"/>
      <c r="BB114" s="250"/>
      <c r="BC114" s="250"/>
      <c r="BD114" s="250"/>
      <c r="BE114" s="250"/>
      <c r="BF114" s="250"/>
      <c r="BG114" s="250"/>
      <c r="BH114" s="250"/>
      <c r="BI114" s="250"/>
      <c r="BJ114" s="250"/>
      <c r="BK114" s="250"/>
      <c r="BL114" s="250"/>
      <c r="BM114" s="250"/>
      <c r="BN114" s="250"/>
      <c r="BO114" s="250"/>
      <c r="BP114" s="250"/>
      <c r="BQ114" s="250"/>
      <c r="BR114" s="250"/>
      <c r="BS114" s="250"/>
      <c r="BT114" s="250"/>
    </row>
    <row r="115" spans="1:72" x14ac:dyDescent="0.2">
      <c r="A115" s="332"/>
      <c r="B115" s="348">
        <v>2</v>
      </c>
      <c r="C115" s="349" t="s">
        <v>1023</v>
      </c>
      <c r="D115" s="336"/>
      <c r="E115" s="336"/>
      <c r="F115" s="336"/>
      <c r="G115" s="336"/>
      <c r="H115" s="336"/>
      <c r="I115" s="336"/>
      <c r="J115" s="250"/>
      <c r="K115" s="250"/>
      <c r="L115" s="250"/>
      <c r="M115" s="250"/>
      <c r="N115" s="250"/>
      <c r="O115" s="250"/>
      <c r="P115" s="250"/>
      <c r="Q115" s="250"/>
      <c r="R115" s="250"/>
      <c r="S115" s="250"/>
      <c r="T115" s="250"/>
      <c r="U115" s="250"/>
      <c r="V115" s="250"/>
      <c r="W115" s="250"/>
      <c r="X115" s="356">
        <f>SUM(AC115:AE115)/3</f>
        <v>14</v>
      </c>
      <c r="Y115" s="356">
        <f>SUM(AF115:AH115)/3</f>
        <v>15</v>
      </c>
      <c r="Z115" s="351">
        <f>SUM(AI115:AK115)/3</f>
        <v>15</v>
      </c>
      <c r="AA115" s="351">
        <f>SUM(AL115:AN115)/3</f>
        <v>14</v>
      </c>
      <c r="AB115" s="351">
        <f>SUM(X115:AA115)/4</f>
        <v>14.5</v>
      </c>
      <c r="AC115" s="353">
        <f>E26+E31+E36+E37+E38+E39+E40+E41+E86+E87+E88+E89+E90+E91</f>
        <v>14</v>
      </c>
      <c r="AD115" s="357">
        <f>AC115</f>
        <v>14</v>
      </c>
      <c r="AE115" s="357">
        <f>AC115</f>
        <v>14</v>
      </c>
      <c r="AF115" s="357">
        <v>15</v>
      </c>
      <c r="AG115" s="357">
        <v>15</v>
      </c>
      <c r="AH115" s="357">
        <v>15</v>
      </c>
      <c r="AI115" s="357">
        <v>15</v>
      </c>
      <c r="AJ115" s="357">
        <v>15</v>
      </c>
      <c r="AK115" s="357">
        <v>15</v>
      </c>
      <c r="AL115" s="357">
        <f>AC115</f>
        <v>14</v>
      </c>
      <c r="AM115" s="357">
        <f>AC115</f>
        <v>14</v>
      </c>
      <c r="AN115" s="357">
        <f>AC115</f>
        <v>14</v>
      </c>
      <c r="AO115" s="354">
        <f>AO26+AO31+AO36+AO37+AO38+AO39+AO40+AO41+AO42+AO86+AO87+AO88+AO89+AO90+AO91</f>
        <v>2425.2811050000005</v>
      </c>
      <c r="AP115" s="354">
        <f>AP26+AP31+AP36+AP37+AP38+AP39+AP40+AP41+AP42+AP86+AP87+AP88+AP89+AP90+AP91</f>
        <v>2579.3786850000001</v>
      </c>
      <c r="AQ115" s="354">
        <f>AQ26+AQ31+AQ36+AQ37+AQ38+AQ39+AQ40+AQ41+AQ42+AQ86+AQ87+AQ88+AQ89+AQ90+AQ91</f>
        <v>2670.5411628156999</v>
      </c>
      <c r="AR115" s="354">
        <f>AR26+AR31+AR36+AR37+AR38+AR39+AR40+AR41+AR42+AR86+AR87+AR88+AR89+AR90+AR91</f>
        <v>2425.2811050000005</v>
      </c>
      <c r="AS115" s="354">
        <f>SUM(AO115:AR115)</f>
        <v>10100.482057815701</v>
      </c>
      <c r="AT115" s="355">
        <f>AT26+AT31+AT36+AT37+AT38+AT39+AT40+AT41+AT42+AT86+AT87+AT88+AT89+AT90+AT91</f>
        <v>749.41186144499989</v>
      </c>
      <c r="AU115" s="355">
        <f>AU26+AU31+AU36+AU37+AU38+AU39+AU40+AU41+AU42+AU86+AU87+AU88+AU89+AU90+AU91</f>
        <v>797.02801366499989</v>
      </c>
      <c r="AV115" s="355">
        <f>AV26+AV31+AV36+AV37+AV38+AV39+AV40+AV41+AV42+AV86+AV87+AV88+AV89+AV90+AV91</f>
        <v>825.19721931005108</v>
      </c>
      <c r="AW115" s="355">
        <f>AW26+AW31+AW36+AW37+AW38+AW39+AW40+AW41+AW42+AW86+AW87+AW88+AW89+AW90+AW91</f>
        <v>749.41186144499989</v>
      </c>
      <c r="AX115" s="355">
        <f>SUM(AT115:AW115)</f>
        <v>3121.0489558650506</v>
      </c>
      <c r="AY115" s="250"/>
      <c r="AZ115" s="250"/>
      <c r="BA115" s="250"/>
      <c r="BB115" s="250"/>
      <c r="BC115" s="250"/>
      <c r="BD115" s="250"/>
      <c r="BE115" s="250"/>
      <c r="BF115" s="250"/>
      <c r="BG115" s="250"/>
      <c r="BH115" s="250"/>
      <c r="BI115" s="250"/>
      <c r="BJ115" s="250"/>
      <c r="BK115" s="250"/>
      <c r="BL115" s="250"/>
      <c r="BM115" s="250"/>
      <c r="BN115" s="250"/>
      <c r="BO115" s="250"/>
      <c r="BP115" s="250"/>
      <c r="BQ115" s="250"/>
      <c r="BR115" s="250"/>
      <c r="BS115" s="250"/>
      <c r="BT115" s="250"/>
    </row>
    <row r="116" spans="1:72" ht="25.5" x14ac:dyDescent="0.2">
      <c r="A116" s="332"/>
      <c r="B116" s="348">
        <v>3</v>
      </c>
      <c r="C116" s="349" t="s">
        <v>1024</v>
      </c>
      <c r="D116" s="336"/>
      <c r="E116" s="336"/>
      <c r="F116" s="336"/>
      <c r="G116" s="336"/>
      <c r="H116" s="336"/>
      <c r="I116" s="336"/>
      <c r="J116" s="250"/>
      <c r="K116" s="250"/>
      <c r="L116" s="250"/>
      <c r="M116" s="250"/>
      <c r="N116" s="250"/>
      <c r="O116" s="250"/>
      <c r="P116" s="250"/>
      <c r="Q116" s="250"/>
      <c r="R116" s="250"/>
      <c r="S116" s="250"/>
      <c r="T116" s="250"/>
      <c r="U116" s="250"/>
      <c r="V116" s="250"/>
      <c r="W116" s="250"/>
      <c r="X116" s="356">
        <f>SUM(AC116:AE116)/3</f>
        <v>31.166666666666668</v>
      </c>
      <c r="Y116" s="356">
        <f>SUM(AF116:AH116)/3</f>
        <v>60</v>
      </c>
      <c r="Z116" s="351">
        <f>SUM(AI116:AK116)/3</f>
        <v>60</v>
      </c>
      <c r="AA116" s="351">
        <f>SUM(AL116:AN116)/3</f>
        <v>29</v>
      </c>
      <c r="AB116" s="351">
        <f>SUM(X116:AA116)/4</f>
        <v>45.041666666666671</v>
      </c>
      <c r="AC116" s="353">
        <f>E43+E44+E46+E47+E48+E49+E50+E55+E56+E71+E72+E73+E74+E75+E76+E77+E78+E84+E92+E93+E94+E95+E96+E97+E98+E99+E100+E101+E102</f>
        <v>28.5</v>
      </c>
      <c r="AD116" s="357">
        <f>E27+E28+E29+E32+E43+E44+E46+E47+E48+E49+E50+E55+E56+E71+E72+E73+E74+E75+E76+E77+E78+E84+E92+E93+E94+E95+E96+E97+E98+E99+E100+E101+E102</f>
        <v>32.5</v>
      </c>
      <c r="AE116" s="357">
        <f>E27+E28+E29+E32+E43+E44+E46+E47+E48+E49+E50+E55+E56+E71+E72+E73+E74+E75+E76+E77+E78+E84+E92+E93+E94+E95+E96+E97+E98+E99+E100+E101+E102</f>
        <v>32.5</v>
      </c>
      <c r="AF116" s="357">
        <f>E27+E28+E29+E30+E32+E33+E34+E35+E43+E44+E45+E46+E47+E48+E49+E50+E51+E52+E53+E54+E55+E56+E57+E58+E59+E60+E61+E62+E63+E64+E65+E66+E67+E68+E69+E70+E71+E72+E73+E74+E75+E76+E77+E78+E79+E80+E81+E82+E83+E84+E92+E93+E94+E95+E96+E97+E98+E99+E100+E101+E102</f>
        <v>60</v>
      </c>
      <c r="AG116" s="357">
        <v>60</v>
      </c>
      <c r="AH116" s="357">
        <v>60</v>
      </c>
      <c r="AI116" s="357">
        <v>60</v>
      </c>
      <c r="AJ116" s="357">
        <v>60</v>
      </c>
      <c r="AK116" s="357">
        <v>60</v>
      </c>
      <c r="AL116" s="357">
        <f>E43+E44+E45+E46+E47+E48+E49+E50+E55+E56+E71+E72+E73+E74+E75+E76+E77+E78+E84+E92+E93+E94+E95+E96+E97+E98+E99+E100+E101+E102</f>
        <v>29</v>
      </c>
      <c r="AM116" s="357">
        <f>AL116</f>
        <v>29</v>
      </c>
      <c r="AN116" s="357">
        <f>AL116</f>
        <v>29</v>
      </c>
      <c r="AO116" s="354">
        <f>AO27+AO28+AO29+AO30+AO32+AO33+AO34+AO35+AO43+AO44+AO45+AO46+AO47+AO48+AO49+AO50+AO51+AO52+AO53+AO54+AO55+AO56+AO57+AO58+AO59+AO60+AO61+AO62+AO63+AO64+AO65+AO66+AO67+AO68+AO69+AO70+AO71+AO72+AO73+AO74+AO75+AO76+AO77+AO78+AO79+AO80+AO81+AO82+AO83+AO84+AO92+AO93+AO94+AO95+AO96+AO97+AO98+AO99+AO100+AO101+AO102</f>
        <v>4251.5564655999997</v>
      </c>
      <c r="AP116" s="354">
        <f>AP27+AP28+AP29+AP30+AP32+AP33+AP34+AP35+AP43+AP44+AP45+AP46+AP47+AP48+AP49+AP50+AP51+AP52+AP53+AP54+AP55+AP56+AP57+AP58+AP59+AP60+AP61+AP62+AP63+AP64+AP65+AP66+AP67+AP68+AP69+AP70+AP71+AP72+AP73+AP74+AP75+AP76+AP77+AP78+AP79+AP80+AP81+AP82+AP83+AP84+AP92+AP93+AP94+AP95+AP96+AP97+AP98+AP99+AP100+AP101+AP102</f>
        <v>9335.4401700000053</v>
      </c>
      <c r="AQ116" s="354">
        <f>AQ27+AQ28+AQ29+AQ30+AQ32+AQ33+AQ34+AQ35+AQ43+AQ44+AQ45+AQ46+AQ47+AQ48+AQ49+AQ50+AQ51+AQ52+AQ53+AQ54+AQ55+AQ56+AQ57+AQ58+AQ59+AQ60+AQ61+AQ62+AQ63+AQ64+AQ65+AQ66+AQ67+AQ68+AQ69+AQ70+AQ71+AQ72+AQ73+AQ74+AQ75+AQ76+AQ77+AQ78+AQ79+AQ80+AQ81+AQ82+AQ83+AQ84+AQ92+AQ93+AQ94+AQ95+AQ96+AQ97+AQ98+AQ99+AQ100+AQ101+AQ102</f>
        <v>14240.8527014471</v>
      </c>
      <c r="AR116" s="354">
        <f>AR27+AR28+AR29+AR30+AR32+AR33+AR34+AR35+AR43+AR44+AR45+AR46+AR47+AR48+AR49+AR50+AR51+AR52+AR53+AR54+AR55+AR56+AR57+AR58+AR59+AR60+AR61+AR62+AR63+AR64+AR65+AR66+AR67+AR68+AR69+AR70+AR71+AR72+AR73+AR74+AR75+AR76+AR77+AR78+AR79+AR80+AR81+AR82+AR83+AR84+AR92+AR93+AR94+AR95+AR96+AR97+AR98+AR99+AR100+AR101+AR102</f>
        <v>3641.2193200000002</v>
      </c>
      <c r="AS116" s="354">
        <f>SUM(AO116:AR116)</f>
        <v>31469.068657047104</v>
      </c>
      <c r="AT116" s="355">
        <f>AT27+AT28+AT29+AT30+AT32+AT33+AT34+AT35+AT43+AT44+AT45+AT46+AT47+AT48+AT49+AT50+AT51+AT52+AT53+AT54+AT55+AT56+AT57+AT58+AT59+AT60+AT61+AT62+AT63+AT64+AT65+AT66+AT67+AT68+AT69+AT70+AT71+AT72+AT73+AT74+AT75+AT76+AT77+AT78+AT79+AT80+AT81+AT82+AT83+AT84+AT92+AT93+AT94+AT95+AT96+AT97+AT98+AT99+AT100+AT101+AT102</f>
        <v>1313.7309478703999</v>
      </c>
      <c r="AU116" s="355">
        <f>AU27+AU28+AU29+AU30+AU32+AU33+AU34+AU35+AU43+AU44+AU45+AU46+AU47+AU48+AU49+AU50+AU51+AU52+AU53+AU54+AU55+AU56+AU57+AU58+AU59+AU60+AU61+AU62+AU63+AU64+AU65+AU66+AU67+AU68+AU69+AU70+AU71+AU72+AU73+AU74+AU75+AU76+AU77+AU78+AU79+AU80+AU81+AU82+AU83+AU84+AU92+AU93+AU94+AU95+AU96+AU97+AU98+AU99+AU100+AU101+AU102</f>
        <v>2884.6510125300001</v>
      </c>
      <c r="AV116" s="355">
        <f>AV27+AV28+AV29+AV30+AV32+AV33+AV34+AV35+AV43+AV44+AV45+AV46+AV47+AV48+AV49+AV50+AV51+AV52+AV53+AV54+AV55+AV56+AV57+AV58+AV59+AV60+AV61+AV62+AV63+AV64+AV65+AV66+AV67+AV68+AV69+AV70+AV71+AV72+AV73+AV74+AV75+AV76+AV77+AV78+AV79+AV80+AV81+AV82+AV83+AV84+AV92+AV93+AV94+AV95+AV96+AV97+AV98+AV99+AV100+AV101+AV102</f>
        <v>4400.4234847471571</v>
      </c>
      <c r="AW116" s="355">
        <f>AW27+AW28+AW29+AW30+AW32+AW33+AW34+AW35+AW43+AW44+AW45+AW46+AW47+AW48+AW49+AW50+AW51+AW52+AW53+AW54+AW55+AW56+AW57+AW58+AW59+AW60+AW61+AW62+AW63+AW64+AW65+AW66+AW67+AW68+AW69+AW70+AW71+AW72+AW73+AW74+AW75+AW76+AW77+AW78+AW79+AW80+AW81+AW82+AW83+AW84+AW92+AW93+AW94+AW95+AW96+AW97+AW98+AW99+AW100+AW101+AW102</f>
        <v>1125.1367698799997</v>
      </c>
      <c r="AX116" s="355">
        <f>SUM(AT116:AW116)</f>
        <v>9723.9422150275586</v>
      </c>
      <c r="AY116" s="250"/>
      <c r="AZ116" s="250"/>
      <c r="BA116" s="250"/>
      <c r="BB116" s="250"/>
      <c r="BC116" s="250"/>
      <c r="BD116" s="250"/>
      <c r="BE116" s="250"/>
      <c r="BF116" s="250"/>
      <c r="BG116" s="250"/>
      <c r="BH116" s="250"/>
      <c r="BI116" s="250"/>
      <c r="BJ116" s="250"/>
      <c r="BK116" s="250"/>
      <c r="BL116" s="250"/>
      <c r="BM116" s="250"/>
      <c r="BN116" s="250"/>
      <c r="BO116" s="250"/>
      <c r="BP116" s="250"/>
      <c r="BQ116" s="250"/>
      <c r="BR116" s="250"/>
      <c r="BS116" s="250"/>
      <c r="BT116" s="250"/>
    </row>
    <row r="117" spans="1:72" x14ac:dyDescent="0.2">
      <c r="A117" s="332"/>
      <c r="B117" s="348"/>
      <c r="C117" s="358" t="s">
        <v>1025</v>
      </c>
      <c r="D117" s="336"/>
      <c r="E117" s="336"/>
      <c r="F117" s="336"/>
      <c r="G117" s="336"/>
      <c r="H117" s="336"/>
      <c r="I117" s="336"/>
      <c r="J117" s="250"/>
      <c r="K117" s="250"/>
      <c r="L117" s="250"/>
      <c r="M117" s="250"/>
      <c r="N117" s="250"/>
      <c r="O117" s="250"/>
      <c r="P117" s="250"/>
      <c r="Q117" s="250"/>
      <c r="R117" s="250"/>
      <c r="S117" s="250"/>
      <c r="T117" s="250"/>
      <c r="U117" s="250"/>
      <c r="V117" s="250"/>
      <c r="W117" s="250"/>
      <c r="X117" s="356">
        <f t="shared" ref="X117:AX117" si="197">SUM(X114:X116)</f>
        <v>59.066666666666663</v>
      </c>
      <c r="Y117" s="350">
        <f t="shared" si="197"/>
        <v>88.9</v>
      </c>
      <c r="Z117" s="351">
        <f t="shared" si="197"/>
        <v>88.9</v>
      </c>
      <c r="AA117" s="351">
        <f t="shared" si="197"/>
        <v>56.9</v>
      </c>
      <c r="AB117" s="352">
        <f t="shared" si="197"/>
        <v>73.441666666666663</v>
      </c>
      <c r="AC117" s="353">
        <f t="shared" si="197"/>
        <v>56.4</v>
      </c>
      <c r="AD117" s="359">
        <f t="shared" si="197"/>
        <v>60.4</v>
      </c>
      <c r="AE117" s="359">
        <f t="shared" si="197"/>
        <v>60.4</v>
      </c>
      <c r="AF117" s="359">
        <f t="shared" si="197"/>
        <v>88.9</v>
      </c>
      <c r="AG117" s="359">
        <f t="shared" si="197"/>
        <v>88.9</v>
      </c>
      <c r="AH117" s="359">
        <f t="shared" si="197"/>
        <v>88.9</v>
      </c>
      <c r="AI117" s="359">
        <f t="shared" si="197"/>
        <v>88.9</v>
      </c>
      <c r="AJ117" s="359">
        <f t="shared" si="197"/>
        <v>88.9</v>
      </c>
      <c r="AK117" s="359">
        <f t="shared" si="197"/>
        <v>88.9</v>
      </c>
      <c r="AL117" s="359">
        <f t="shared" si="197"/>
        <v>56.9</v>
      </c>
      <c r="AM117" s="359">
        <f t="shared" si="197"/>
        <v>56.9</v>
      </c>
      <c r="AN117" s="360">
        <f t="shared" si="197"/>
        <v>56.9</v>
      </c>
      <c r="AO117" s="354">
        <f t="shared" si="197"/>
        <v>9842.4415961000013</v>
      </c>
      <c r="AP117" s="354">
        <f t="shared" si="197"/>
        <v>15080.422880500006</v>
      </c>
      <c r="AQ117" s="354">
        <f t="shared" si="197"/>
        <v>20166.924089762801</v>
      </c>
      <c r="AR117" s="354">
        <f t="shared" si="197"/>
        <v>9232.1044505000009</v>
      </c>
      <c r="AS117" s="361">
        <f t="shared" si="197"/>
        <v>54321.893016862807</v>
      </c>
      <c r="AT117" s="355">
        <f t="shared" si="197"/>
        <v>3041.1475931948999</v>
      </c>
      <c r="AU117" s="355">
        <f t="shared" si="197"/>
        <v>4659.6838100744999</v>
      </c>
      <c r="AV117" s="355">
        <f t="shared" si="197"/>
        <v>6231.4126837367075</v>
      </c>
      <c r="AW117" s="355">
        <f t="shared" si="197"/>
        <v>2852.5534152044993</v>
      </c>
      <c r="AX117" s="362">
        <f t="shared" si="197"/>
        <v>16784.797502210611</v>
      </c>
      <c r="AY117" s="250"/>
      <c r="AZ117" s="250"/>
      <c r="BA117" s="250"/>
      <c r="BB117" s="250"/>
      <c r="BC117" s="250"/>
      <c r="BD117" s="250"/>
      <c r="BE117" s="250"/>
      <c r="BF117" s="250"/>
      <c r="BG117" s="250"/>
      <c r="BH117" s="250"/>
      <c r="BI117" s="250"/>
      <c r="BJ117" s="250"/>
      <c r="BK117" s="250"/>
      <c r="BL117" s="250"/>
      <c r="BM117" s="250"/>
      <c r="BN117" s="250"/>
      <c r="BO117" s="250"/>
      <c r="BP117" s="250"/>
      <c r="BQ117" s="250"/>
      <c r="BR117" s="250"/>
      <c r="BS117" s="250"/>
      <c r="BT117" s="250"/>
    </row>
    <row r="118" spans="1:72" x14ac:dyDescent="0.2">
      <c r="A118" s="332"/>
      <c r="B118" s="332"/>
      <c r="C118" s="332"/>
      <c r="D118" s="332"/>
      <c r="E118" s="332"/>
      <c r="F118" s="332"/>
      <c r="G118" s="332"/>
      <c r="H118" s="332"/>
      <c r="I118" s="332"/>
    </row>
    <row r="119" spans="1:72" x14ac:dyDescent="0.2">
      <c r="A119" s="332"/>
      <c r="B119" s="332"/>
      <c r="C119" s="332"/>
      <c r="D119" s="332"/>
      <c r="E119" s="332"/>
      <c r="F119" s="332"/>
      <c r="G119" s="332"/>
      <c r="H119" s="332"/>
      <c r="I119" s="332"/>
    </row>
    <row r="120" spans="1:72" x14ac:dyDescent="0.2">
      <c r="A120" s="332"/>
      <c r="B120" s="332"/>
      <c r="C120" s="332"/>
      <c r="D120" s="332"/>
      <c r="E120" s="332"/>
      <c r="F120" s="332"/>
      <c r="G120" s="332"/>
      <c r="H120" s="332"/>
      <c r="I120" s="332"/>
    </row>
    <row r="121" spans="1:72" x14ac:dyDescent="0.2">
      <c r="A121" s="332"/>
      <c r="B121" s="332"/>
      <c r="C121" s="332"/>
      <c r="D121" s="332"/>
      <c r="E121" s="332"/>
      <c r="F121" s="332"/>
      <c r="G121" s="332"/>
      <c r="H121" s="332"/>
      <c r="I121" s="332"/>
    </row>
    <row r="122" spans="1:72" x14ac:dyDescent="0.2">
      <c r="A122" s="332"/>
      <c r="B122" s="332"/>
      <c r="C122" s="332"/>
      <c r="D122" s="332"/>
      <c r="E122" s="332"/>
      <c r="F122" s="332"/>
      <c r="G122" s="332"/>
      <c r="H122" s="332"/>
      <c r="I122" s="332"/>
    </row>
    <row r="123" spans="1:72" x14ac:dyDescent="0.2">
      <c r="A123" s="332"/>
      <c r="B123" s="332"/>
      <c r="C123" s="332"/>
      <c r="D123" s="332"/>
      <c r="E123" s="332"/>
      <c r="F123" s="332"/>
      <c r="G123" s="332"/>
      <c r="H123" s="332"/>
      <c r="I123" s="332"/>
    </row>
    <row r="124" spans="1:72" x14ac:dyDescent="0.2">
      <c r="A124" s="332"/>
      <c r="B124" s="332"/>
      <c r="C124" s="332"/>
      <c r="D124" s="332"/>
      <c r="E124" s="332"/>
      <c r="F124" s="332"/>
      <c r="G124" s="332"/>
      <c r="H124" s="332"/>
      <c r="I124" s="332"/>
    </row>
    <row r="125" spans="1:72" x14ac:dyDescent="0.2">
      <c r="A125" s="332"/>
      <c r="B125" s="332"/>
      <c r="C125" s="332"/>
      <c r="D125" s="332"/>
      <c r="E125" s="332"/>
      <c r="F125" s="332"/>
      <c r="G125" s="332"/>
      <c r="H125" s="332"/>
      <c r="I125" s="332"/>
    </row>
    <row r="126" spans="1:72" x14ac:dyDescent="0.2">
      <c r="A126" s="332"/>
      <c r="B126" s="332"/>
      <c r="C126" s="332"/>
      <c r="D126" s="332"/>
      <c r="E126" s="332"/>
      <c r="F126" s="332"/>
      <c r="G126" s="332"/>
      <c r="H126" s="332"/>
      <c r="I126" s="332"/>
    </row>
    <row r="127" spans="1:72" x14ac:dyDescent="0.2">
      <c r="A127" s="332"/>
      <c r="B127" s="332"/>
      <c r="C127" s="332"/>
      <c r="D127" s="332"/>
      <c r="E127" s="332"/>
      <c r="F127" s="332"/>
      <c r="G127" s="332"/>
      <c r="H127" s="332"/>
      <c r="I127" s="332"/>
    </row>
    <row r="128" spans="1:72" x14ac:dyDescent="0.2">
      <c r="A128" s="332"/>
      <c r="B128" s="332"/>
      <c r="C128" s="332"/>
      <c r="D128" s="332"/>
      <c r="E128" s="332"/>
      <c r="F128" s="332"/>
      <c r="G128" s="332"/>
      <c r="H128" s="332"/>
      <c r="I128" s="332"/>
    </row>
    <row r="129" spans="1:9" x14ac:dyDescent="0.2">
      <c r="A129" s="332"/>
      <c r="B129" s="332"/>
      <c r="C129" s="332"/>
      <c r="D129" s="332"/>
      <c r="E129" s="332"/>
      <c r="F129" s="332"/>
      <c r="G129" s="332"/>
      <c r="H129" s="332"/>
      <c r="I129" s="332"/>
    </row>
    <row r="130" spans="1:9" x14ac:dyDescent="0.2">
      <c r="A130" s="332"/>
      <c r="B130" s="332"/>
      <c r="C130" s="332"/>
      <c r="D130" s="332"/>
      <c r="E130" s="332"/>
      <c r="F130" s="332"/>
      <c r="G130" s="332"/>
      <c r="H130" s="332"/>
      <c r="I130" s="332"/>
    </row>
    <row r="131" spans="1:9" x14ac:dyDescent="0.2">
      <c r="A131" s="332"/>
      <c r="B131" s="332"/>
      <c r="C131" s="332"/>
      <c r="D131" s="332"/>
      <c r="E131" s="332"/>
      <c r="F131" s="332"/>
      <c r="G131" s="332"/>
      <c r="H131" s="332"/>
      <c r="I131" s="332"/>
    </row>
    <row r="132" spans="1:9" x14ac:dyDescent="0.2">
      <c r="A132" s="332"/>
      <c r="B132" s="332"/>
      <c r="C132" s="332"/>
      <c r="D132" s="332"/>
      <c r="E132" s="332"/>
      <c r="F132" s="332"/>
      <c r="G132" s="332"/>
      <c r="H132" s="332"/>
      <c r="I132" s="332"/>
    </row>
    <row r="133" spans="1:9" x14ac:dyDescent="0.2">
      <c r="A133" s="332"/>
      <c r="B133" s="332"/>
      <c r="C133" s="332"/>
      <c r="D133" s="332"/>
      <c r="E133" s="332"/>
      <c r="F133" s="332"/>
      <c r="G133" s="332"/>
      <c r="H133" s="332"/>
      <c r="I133" s="332"/>
    </row>
    <row r="134" spans="1:9" x14ac:dyDescent="0.2">
      <c r="A134" s="332"/>
      <c r="B134" s="332"/>
      <c r="C134" s="332"/>
      <c r="D134" s="332"/>
      <c r="E134" s="332"/>
      <c r="F134" s="332"/>
      <c r="G134" s="332"/>
      <c r="H134" s="332"/>
      <c r="I134" s="332"/>
    </row>
    <row r="135" spans="1:9" x14ac:dyDescent="0.2">
      <c r="A135" s="332"/>
      <c r="B135" s="332"/>
      <c r="C135" s="332"/>
      <c r="D135" s="332"/>
      <c r="E135" s="332"/>
      <c r="F135" s="332"/>
      <c r="G135" s="332"/>
      <c r="H135" s="332"/>
      <c r="I135" s="332"/>
    </row>
    <row r="136" spans="1:9" x14ac:dyDescent="0.2">
      <c r="A136" s="332"/>
      <c r="B136" s="332"/>
      <c r="C136" s="332"/>
      <c r="D136" s="332"/>
      <c r="E136" s="332"/>
      <c r="F136" s="332"/>
      <c r="G136" s="332"/>
      <c r="H136" s="332"/>
      <c r="I136" s="332"/>
    </row>
    <row r="137" spans="1:9" x14ac:dyDescent="0.2">
      <c r="A137" s="332"/>
      <c r="B137" s="332"/>
      <c r="C137" s="332"/>
      <c r="D137" s="332"/>
      <c r="E137" s="332"/>
      <c r="F137" s="332"/>
      <c r="G137" s="332"/>
      <c r="H137" s="332"/>
      <c r="I137" s="332"/>
    </row>
    <row r="138" spans="1:9" x14ac:dyDescent="0.2">
      <c r="A138" s="332"/>
      <c r="B138" s="332"/>
      <c r="C138" s="332"/>
      <c r="D138" s="332"/>
      <c r="E138" s="332"/>
      <c r="F138" s="332"/>
      <c r="G138" s="332"/>
      <c r="H138" s="332"/>
      <c r="I138" s="332"/>
    </row>
    <row r="139" spans="1:9" x14ac:dyDescent="0.2">
      <c r="A139" s="332"/>
      <c r="B139" s="332"/>
      <c r="C139" s="332"/>
      <c r="D139" s="332"/>
      <c r="E139" s="332"/>
      <c r="F139" s="332"/>
      <c r="G139" s="332"/>
      <c r="H139" s="332"/>
      <c r="I139" s="332"/>
    </row>
    <row r="140" spans="1:9" x14ac:dyDescent="0.2">
      <c r="A140" s="332"/>
      <c r="B140" s="332"/>
      <c r="C140" s="332"/>
      <c r="D140" s="332"/>
      <c r="E140" s="332"/>
      <c r="F140" s="332"/>
      <c r="G140" s="332"/>
      <c r="H140" s="332"/>
      <c r="I140" s="332"/>
    </row>
    <row r="141" spans="1:9" x14ac:dyDescent="0.2">
      <c r="A141" s="332"/>
      <c r="B141" s="332"/>
      <c r="C141" s="332"/>
      <c r="D141" s="332"/>
      <c r="E141" s="332"/>
      <c r="F141" s="332"/>
      <c r="G141" s="332"/>
      <c r="H141" s="332"/>
      <c r="I141" s="332"/>
    </row>
    <row r="142" spans="1:9" x14ac:dyDescent="0.2">
      <c r="A142" s="332"/>
      <c r="B142" s="332"/>
      <c r="C142" s="332"/>
      <c r="D142" s="332"/>
      <c r="E142" s="332"/>
      <c r="F142" s="332"/>
      <c r="G142" s="332"/>
      <c r="H142" s="332"/>
      <c r="I142" s="332"/>
    </row>
    <row r="143" spans="1:9" x14ac:dyDescent="0.2">
      <c r="A143" s="332"/>
      <c r="B143" s="332"/>
      <c r="C143" s="332"/>
      <c r="D143" s="332"/>
      <c r="E143" s="332"/>
      <c r="F143" s="332"/>
      <c r="G143" s="332"/>
      <c r="H143" s="332"/>
      <c r="I143" s="332"/>
    </row>
    <row r="144" spans="1:9" x14ac:dyDescent="0.2">
      <c r="A144" s="332"/>
      <c r="B144" s="332"/>
      <c r="C144" s="332"/>
      <c r="D144" s="332"/>
      <c r="E144" s="332"/>
      <c r="F144" s="332"/>
      <c r="G144" s="332"/>
      <c r="H144" s="332"/>
      <c r="I144" s="332"/>
    </row>
    <row r="145" spans="1:9" x14ac:dyDescent="0.2">
      <c r="A145" s="332"/>
      <c r="B145" s="332"/>
      <c r="C145" s="332"/>
      <c r="D145" s="332"/>
      <c r="E145" s="332"/>
      <c r="F145" s="332"/>
      <c r="G145" s="332"/>
      <c r="H145" s="332"/>
      <c r="I145" s="332"/>
    </row>
    <row r="146" spans="1:9" x14ac:dyDescent="0.2">
      <c r="A146" s="332"/>
      <c r="B146" s="332"/>
      <c r="C146" s="332"/>
      <c r="D146" s="332"/>
      <c r="E146" s="332"/>
      <c r="F146" s="332"/>
      <c r="G146" s="332"/>
      <c r="H146" s="332"/>
      <c r="I146" s="332"/>
    </row>
    <row r="147" spans="1:9" x14ac:dyDescent="0.2">
      <c r="A147" s="332"/>
      <c r="B147" s="332"/>
      <c r="C147" s="332"/>
      <c r="D147" s="332"/>
      <c r="E147" s="332"/>
      <c r="F147" s="332"/>
      <c r="G147" s="332"/>
      <c r="H147" s="332"/>
      <c r="I147" s="332"/>
    </row>
    <row r="148" spans="1:9" x14ac:dyDescent="0.2">
      <c r="A148" s="332"/>
      <c r="B148" s="332"/>
      <c r="C148" s="332"/>
      <c r="D148" s="332"/>
      <c r="E148" s="332"/>
      <c r="F148" s="332"/>
      <c r="G148" s="332"/>
      <c r="H148" s="332"/>
      <c r="I148" s="332"/>
    </row>
    <row r="149" spans="1:9" x14ac:dyDescent="0.2">
      <c r="A149" s="332"/>
      <c r="B149" s="332"/>
      <c r="C149" s="332"/>
      <c r="D149" s="332"/>
      <c r="E149" s="332"/>
      <c r="F149" s="332"/>
      <c r="G149" s="332"/>
      <c r="H149" s="332"/>
      <c r="I149" s="332"/>
    </row>
    <row r="150" spans="1:9" x14ac:dyDescent="0.2">
      <c r="A150" s="332"/>
      <c r="B150" s="332"/>
      <c r="C150" s="332"/>
      <c r="D150" s="332"/>
      <c r="E150" s="332"/>
      <c r="F150" s="332"/>
      <c r="G150" s="332"/>
      <c r="H150" s="332"/>
      <c r="I150" s="332"/>
    </row>
    <row r="151" spans="1:9" x14ac:dyDescent="0.2">
      <c r="A151" s="332"/>
      <c r="B151" s="332"/>
      <c r="C151" s="332"/>
      <c r="D151" s="332"/>
      <c r="E151" s="332"/>
      <c r="F151" s="332"/>
      <c r="G151" s="332"/>
      <c r="H151" s="332"/>
      <c r="I151" s="332"/>
    </row>
    <row r="152" spans="1:9" x14ac:dyDescent="0.2">
      <c r="A152" s="332"/>
      <c r="B152" s="332"/>
      <c r="C152" s="332"/>
      <c r="D152" s="332"/>
      <c r="E152" s="332"/>
      <c r="F152" s="332"/>
      <c r="G152" s="332"/>
      <c r="H152" s="332"/>
      <c r="I152" s="332"/>
    </row>
    <row r="153" spans="1:9" x14ac:dyDescent="0.2">
      <c r="A153" s="332"/>
      <c r="B153" s="332"/>
      <c r="C153" s="332"/>
      <c r="D153" s="332"/>
      <c r="E153" s="332"/>
      <c r="F153" s="332"/>
      <c r="G153" s="332"/>
      <c r="H153" s="332"/>
      <c r="I153" s="332"/>
    </row>
    <row r="154" spans="1:9" x14ac:dyDescent="0.2">
      <c r="A154" s="332"/>
      <c r="B154" s="332"/>
      <c r="C154" s="332"/>
      <c r="D154" s="332"/>
      <c r="E154" s="332"/>
      <c r="F154" s="332"/>
      <c r="G154" s="332"/>
      <c r="H154" s="332"/>
      <c r="I154" s="332"/>
    </row>
    <row r="155" spans="1:9" x14ac:dyDescent="0.2">
      <c r="A155" s="332"/>
      <c r="B155" s="332"/>
      <c r="C155" s="332"/>
      <c r="D155" s="332"/>
      <c r="E155" s="332"/>
      <c r="F155" s="332"/>
      <c r="G155" s="332"/>
      <c r="H155" s="332"/>
      <c r="I155" s="332"/>
    </row>
    <row r="156" spans="1:9" x14ac:dyDescent="0.2">
      <c r="A156" s="332"/>
      <c r="B156" s="332"/>
      <c r="C156" s="332"/>
      <c r="D156" s="332"/>
      <c r="E156" s="332"/>
      <c r="F156" s="332"/>
      <c r="G156" s="332"/>
      <c r="H156" s="332"/>
      <c r="I156" s="332"/>
    </row>
    <row r="157" spans="1:9" x14ac:dyDescent="0.2">
      <c r="A157" s="332"/>
      <c r="B157" s="332"/>
      <c r="C157" s="332"/>
      <c r="D157" s="332"/>
      <c r="E157" s="332"/>
      <c r="F157" s="332"/>
      <c r="G157" s="332"/>
      <c r="H157" s="332"/>
      <c r="I157" s="332"/>
    </row>
    <row r="158" spans="1:9" x14ac:dyDescent="0.2">
      <c r="A158" s="332"/>
      <c r="B158" s="332"/>
      <c r="C158" s="332"/>
      <c r="D158" s="332"/>
      <c r="E158" s="332"/>
      <c r="F158" s="332"/>
      <c r="G158" s="332"/>
      <c r="H158" s="332"/>
      <c r="I158" s="332"/>
    </row>
    <row r="159" spans="1:9" x14ac:dyDescent="0.2">
      <c r="A159" s="332"/>
      <c r="B159" s="332"/>
      <c r="C159" s="332"/>
      <c r="D159" s="332"/>
      <c r="E159" s="332"/>
      <c r="F159" s="332"/>
      <c r="G159" s="332"/>
      <c r="H159" s="332"/>
      <c r="I159" s="332"/>
    </row>
    <row r="160" spans="1:9" x14ac:dyDescent="0.2">
      <c r="A160" s="332"/>
      <c r="B160" s="332"/>
      <c r="C160" s="332"/>
      <c r="D160" s="332"/>
      <c r="E160" s="332"/>
      <c r="F160" s="332"/>
      <c r="G160" s="332"/>
      <c r="H160" s="332"/>
      <c r="I160" s="332"/>
    </row>
    <row r="161" spans="1:9" x14ac:dyDescent="0.2">
      <c r="A161" s="332"/>
      <c r="B161" s="332"/>
      <c r="C161" s="332"/>
      <c r="D161" s="332"/>
      <c r="E161" s="332"/>
      <c r="F161" s="332"/>
      <c r="G161" s="332"/>
      <c r="H161" s="332"/>
      <c r="I161" s="332"/>
    </row>
    <row r="162" spans="1:9" x14ac:dyDescent="0.2">
      <c r="A162" s="332"/>
      <c r="B162" s="332"/>
      <c r="C162" s="332"/>
      <c r="D162" s="332"/>
      <c r="E162" s="332"/>
      <c r="F162" s="332"/>
      <c r="G162" s="332"/>
      <c r="H162" s="332"/>
      <c r="I162" s="332"/>
    </row>
    <row r="163" spans="1:9" x14ac:dyDescent="0.2">
      <c r="A163" s="332"/>
      <c r="B163" s="332"/>
      <c r="C163" s="332"/>
      <c r="D163" s="332"/>
      <c r="E163" s="332"/>
      <c r="F163" s="332"/>
      <c r="G163" s="332"/>
      <c r="H163" s="332"/>
      <c r="I163" s="332"/>
    </row>
    <row r="164" spans="1:9" x14ac:dyDescent="0.2">
      <c r="A164" s="332"/>
      <c r="B164" s="332"/>
      <c r="C164" s="332"/>
      <c r="D164" s="332"/>
      <c r="E164" s="332"/>
      <c r="F164" s="332"/>
      <c r="G164" s="332"/>
      <c r="H164" s="332"/>
      <c r="I164" s="332"/>
    </row>
    <row r="165" spans="1:9" x14ac:dyDescent="0.2">
      <c r="A165" s="332"/>
      <c r="B165" s="332"/>
      <c r="C165" s="332"/>
      <c r="D165" s="332"/>
      <c r="E165" s="332"/>
      <c r="F165" s="332"/>
      <c r="G165" s="332"/>
      <c r="H165" s="332"/>
      <c r="I165" s="332"/>
    </row>
    <row r="166" spans="1:9" x14ac:dyDescent="0.2">
      <c r="A166" s="332"/>
      <c r="B166" s="332"/>
      <c r="C166" s="332"/>
      <c r="D166" s="332"/>
      <c r="E166" s="332"/>
      <c r="F166" s="332"/>
      <c r="G166" s="332"/>
      <c r="H166" s="332"/>
      <c r="I166" s="332"/>
    </row>
    <row r="167" spans="1:9" x14ac:dyDescent="0.2">
      <c r="A167" s="332"/>
      <c r="B167" s="332"/>
      <c r="C167" s="332"/>
      <c r="D167" s="332"/>
      <c r="E167" s="332"/>
      <c r="F167" s="332"/>
      <c r="G167" s="332"/>
      <c r="H167" s="332"/>
      <c r="I167" s="332"/>
    </row>
    <row r="168" spans="1:9" x14ac:dyDescent="0.2">
      <c r="A168" s="332"/>
      <c r="B168" s="332"/>
      <c r="C168" s="332"/>
      <c r="D168" s="332"/>
      <c r="E168" s="332"/>
      <c r="F168" s="332"/>
      <c r="G168" s="332"/>
      <c r="H168" s="332"/>
      <c r="I168" s="332"/>
    </row>
    <row r="169" spans="1:9" x14ac:dyDescent="0.2">
      <c r="A169" s="332"/>
      <c r="B169" s="332"/>
      <c r="C169" s="332"/>
      <c r="D169" s="332"/>
      <c r="E169" s="332"/>
      <c r="F169" s="332"/>
      <c r="G169" s="332"/>
      <c r="H169" s="332"/>
      <c r="I169" s="332"/>
    </row>
    <row r="170" spans="1:9" x14ac:dyDescent="0.2">
      <c r="A170" s="332"/>
      <c r="B170" s="332"/>
      <c r="C170" s="332"/>
      <c r="D170" s="332"/>
      <c r="E170" s="332"/>
      <c r="F170" s="332"/>
      <c r="G170" s="332"/>
      <c r="H170" s="332"/>
      <c r="I170" s="332"/>
    </row>
    <row r="171" spans="1:9" x14ac:dyDescent="0.2">
      <c r="A171" s="332"/>
      <c r="B171" s="332"/>
      <c r="C171" s="332"/>
      <c r="D171" s="332"/>
      <c r="E171" s="332"/>
      <c r="F171" s="332"/>
      <c r="G171" s="332"/>
      <c r="H171" s="332"/>
      <c r="I171" s="332"/>
    </row>
    <row r="172" spans="1:9" x14ac:dyDescent="0.2">
      <c r="A172" s="332"/>
      <c r="B172" s="332"/>
      <c r="C172" s="332"/>
      <c r="D172" s="332"/>
      <c r="E172" s="332"/>
      <c r="F172" s="332"/>
      <c r="G172" s="332"/>
      <c r="H172" s="332"/>
      <c r="I172" s="332"/>
    </row>
    <row r="173" spans="1:9" x14ac:dyDescent="0.2">
      <c r="A173" s="332"/>
      <c r="B173" s="332"/>
      <c r="C173" s="332"/>
      <c r="D173" s="332"/>
      <c r="E173" s="332"/>
      <c r="F173" s="332"/>
      <c r="G173" s="332"/>
      <c r="H173" s="332"/>
      <c r="I173" s="332"/>
    </row>
    <row r="174" spans="1:9" x14ac:dyDescent="0.2">
      <c r="A174" s="332"/>
      <c r="B174" s="332"/>
      <c r="C174" s="332"/>
      <c r="D174" s="332"/>
      <c r="E174" s="332"/>
      <c r="F174" s="332"/>
      <c r="G174" s="332"/>
      <c r="H174" s="332"/>
      <c r="I174" s="332"/>
    </row>
    <row r="175" spans="1:9" x14ac:dyDescent="0.2">
      <c r="A175" s="332"/>
      <c r="B175" s="332"/>
      <c r="C175" s="332"/>
      <c r="D175" s="332"/>
      <c r="E175" s="332"/>
      <c r="F175" s="332"/>
      <c r="G175" s="332"/>
      <c r="H175" s="332"/>
      <c r="I175" s="332"/>
    </row>
    <row r="176" spans="1:9" x14ac:dyDescent="0.2">
      <c r="A176" s="332"/>
      <c r="B176" s="332"/>
      <c r="C176" s="332"/>
      <c r="D176" s="332"/>
      <c r="E176" s="332"/>
      <c r="F176" s="332"/>
      <c r="G176" s="332"/>
      <c r="H176" s="332"/>
      <c r="I176" s="332"/>
    </row>
    <row r="177" spans="1:9" x14ac:dyDescent="0.2">
      <c r="A177" s="332"/>
      <c r="B177" s="332"/>
      <c r="C177" s="332"/>
      <c r="D177" s="332"/>
      <c r="E177" s="332"/>
      <c r="F177" s="332"/>
      <c r="G177" s="332"/>
      <c r="H177" s="332"/>
      <c r="I177" s="332"/>
    </row>
    <row r="178" spans="1:9" x14ac:dyDescent="0.2">
      <c r="A178" s="332"/>
      <c r="B178" s="332"/>
      <c r="C178" s="332"/>
      <c r="D178" s="332"/>
      <c r="E178" s="332"/>
      <c r="F178" s="332"/>
      <c r="G178" s="332"/>
      <c r="H178" s="332"/>
      <c r="I178" s="332"/>
    </row>
    <row r="179" spans="1:9" x14ac:dyDescent="0.2">
      <c r="A179" s="332"/>
      <c r="B179" s="332"/>
      <c r="C179" s="332"/>
      <c r="D179" s="332"/>
      <c r="E179" s="332"/>
      <c r="F179" s="332"/>
      <c r="G179" s="332"/>
      <c r="H179" s="332"/>
      <c r="I179" s="332"/>
    </row>
    <row r="180" spans="1:9" x14ac:dyDescent="0.2">
      <c r="A180" s="332"/>
      <c r="B180" s="332"/>
      <c r="C180" s="332"/>
      <c r="D180" s="332"/>
      <c r="E180" s="332"/>
      <c r="F180" s="332"/>
      <c r="G180" s="332"/>
      <c r="H180" s="332"/>
      <c r="I180" s="332"/>
    </row>
    <row r="181" spans="1:9" x14ac:dyDescent="0.2">
      <c r="A181" s="332"/>
      <c r="B181" s="332"/>
      <c r="C181" s="332"/>
      <c r="D181" s="332"/>
      <c r="E181" s="332"/>
      <c r="F181" s="332"/>
      <c r="G181" s="332"/>
      <c r="H181" s="332"/>
      <c r="I181" s="332"/>
    </row>
    <row r="182" spans="1:9" x14ac:dyDescent="0.2">
      <c r="A182" s="332"/>
      <c r="B182" s="332"/>
      <c r="C182" s="332"/>
      <c r="D182" s="332"/>
      <c r="E182" s="332"/>
      <c r="F182" s="332"/>
      <c r="G182" s="332"/>
      <c r="H182" s="332"/>
      <c r="I182" s="332"/>
    </row>
    <row r="183" spans="1:9" x14ac:dyDescent="0.2">
      <c r="A183" s="332"/>
      <c r="B183" s="332"/>
      <c r="C183" s="332"/>
      <c r="D183" s="332"/>
      <c r="E183" s="332"/>
      <c r="F183" s="332"/>
      <c r="G183" s="332"/>
      <c r="H183" s="332"/>
      <c r="I183" s="332"/>
    </row>
    <row r="184" spans="1:9" x14ac:dyDescent="0.2">
      <c r="A184" s="332"/>
      <c r="B184" s="332"/>
      <c r="C184" s="332"/>
      <c r="D184" s="332"/>
      <c r="E184" s="332"/>
      <c r="F184" s="332"/>
      <c r="G184" s="332"/>
      <c r="H184" s="332"/>
      <c r="I184" s="332"/>
    </row>
    <row r="185" spans="1:9" x14ac:dyDescent="0.2">
      <c r="A185" s="332"/>
      <c r="B185" s="332"/>
      <c r="C185" s="332"/>
      <c r="D185" s="332"/>
      <c r="E185" s="332"/>
      <c r="F185" s="332"/>
      <c r="G185" s="332"/>
      <c r="H185" s="332"/>
      <c r="I185" s="332"/>
    </row>
    <row r="186" spans="1:9" x14ac:dyDescent="0.2">
      <c r="A186" s="332"/>
      <c r="B186" s="332"/>
      <c r="C186" s="332"/>
      <c r="D186" s="332"/>
      <c r="E186" s="332"/>
      <c r="F186" s="332"/>
      <c r="G186" s="332"/>
      <c r="H186" s="332"/>
      <c r="I186" s="332"/>
    </row>
    <row r="187" spans="1:9" x14ac:dyDescent="0.2">
      <c r="A187" s="332"/>
      <c r="B187" s="332"/>
      <c r="C187" s="332"/>
      <c r="D187" s="332"/>
      <c r="E187" s="332"/>
      <c r="F187" s="332"/>
      <c r="G187" s="332"/>
      <c r="H187" s="332"/>
      <c r="I187" s="332"/>
    </row>
    <row r="188" spans="1:9" x14ac:dyDescent="0.2">
      <c r="A188" s="332"/>
      <c r="B188" s="332"/>
      <c r="C188" s="332"/>
      <c r="D188" s="332"/>
      <c r="E188" s="332"/>
      <c r="F188" s="332"/>
      <c r="G188" s="332"/>
      <c r="H188" s="332"/>
      <c r="I188" s="332"/>
    </row>
    <row r="189" spans="1:9" x14ac:dyDescent="0.2">
      <c r="A189" s="332"/>
      <c r="B189" s="332"/>
      <c r="C189" s="332"/>
      <c r="D189" s="332"/>
      <c r="E189" s="332"/>
      <c r="F189" s="332"/>
      <c r="G189" s="332"/>
      <c r="H189" s="332"/>
      <c r="I189" s="332"/>
    </row>
    <row r="190" spans="1:9" x14ac:dyDescent="0.2">
      <c r="A190" s="332"/>
      <c r="B190" s="332"/>
      <c r="C190" s="332"/>
      <c r="D190" s="332"/>
      <c r="E190" s="332"/>
      <c r="F190" s="332"/>
      <c r="G190" s="332"/>
      <c r="H190" s="332"/>
      <c r="I190" s="332"/>
    </row>
    <row r="191" spans="1:9" x14ac:dyDescent="0.2">
      <c r="A191" s="332"/>
      <c r="B191" s="332"/>
      <c r="C191" s="332"/>
      <c r="D191" s="332"/>
      <c r="E191" s="332"/>
      <c r="F191" s="332"/>
      <c r="G191" s="332"/>
      <c r="H191" s="332"/>
      <c r="I191" s="332"/>
    </row>
    <row r="192" spans="1:9" x14ac:dyDescent="0.2">
      <c r="A192" s="332"/>
      <c r="B192" s="332"/>
      <c r="C192" s="332"/>
      <c r="D192" s="332"/>
      <c r="E192" s="332"/>
      <c r="F192" s="332"/>
      <c r="G192" s="332"/>
      <c r="H192" s="332"/>
      <c r="I192" s="332"/>
    </row>
    <row r="193" spans="1:9" x14ac:dyDescent="0.2">
      <c r="A193" s="332"/>
      <c r="B193" s="332"/>
      <c r="C193" s="332"/>
      <c r="D193" s="332"/>
      <c r="E193" s="332"/>
      <c r="F193" s="332"/>
      <c r="G193" s="332"/>
      <c r="H193" s="332"/>
      <c r="I193" s="332"/>
    </row>
    <row r="194" spans="1:9" x14ac:dyDescent="0.2">
      <c r="A194" s="332"/>
      <c r="B194" s="332"/>
      <c r="C194" s="332"/>
      <c r="D194" s="332"/>
      <c r="E194" s="332"/>
      <c r="F194" s="332"/>
      <c r="G194" s="332"/>
      <c r="H194" s="332"/>
      <c r="I194" s="332"/>
    </row>
    <row r="195" spans="1:9" x14ac:dyDescent="0.2">
      <c r="A195" s="332"/>
      <c r="B195" s="332"/>
      <c r="C195" s="332"/>
      <c r="D195" s="332"/>
      <c r="E195" s="332"/>
      <c r="F195" s="332"/>
      <c r="G195" s="332"/>
      <c r="H195" s="332"/>
      <c r="I195" s="332"/>
    </row>
    <row r="196" spans="1:9" x14ac:dyDescent="0.2">
      <c r="A196" s="332"/>
      <c r="B196" s="332"/>
      <c r="C196" s="332"/>
      <c r="D196" s="332"/>
      <c r="E196" s="332"/>
      <c r="F196" s="332"/>
      <c r="G196" s="332"/>
      <c r="H196" s="332"/>
      <c r="I196" s="332"/>
    </row>
    <row r="197" spans="1:9" x14ac:dyDescent="0.2">
      <c r="A197" s="332"/>
      <c r="B197" s="332"/>
      <c r="C197" s="332"/>
      <c r="D197" s="332"/>
      <c r="E197" s="332"/>
      <c r="F197" s="332"/>
      <c r="G197" s="332"/>
      <c r="H197" s="332"/>
      <c r="I197" s="332"/>
    </row>
    <row r="198" spans="1:9" x14ac:dyDescent="0.2">
      <c r="C198" s="332"/>
      <c r="D198" s="332"/>
      <c r="E198" s="332"/>
      <c r="F198" s="332"/>
      <c r="G198" s="332"/>
      <c r="H198" s="332"/>
      <c r="I198" s="332"/>
    </row>
  </sheetData>
  <autoFilter ref="A6:BU110"/>
  <mergeCells count="79">
    <mergeCell ref="BH5:BH6"/>
    <mergeCell ref="BG5:BG6"/>
    <mergeCell ref="BF5:BF6"/>
    <mergeCell ref="BR5:BR6"/>
    <mergeCell ref="BS5:BS6"/>
    <mergeCell ref="BM5:BM6"/>
    <mergeCell ref="BL5:BL6"/>
    <mergeCell ref="BK5:BK6"/>
    <mergeCell ref="BJ5:BJ6"/>
    <mergeCell ref="BI5:BI6"/>
    <mergeCell ref="BT5:BT6"/>
    <mergeCell ref="BQ5:BQ6"/>
    <mergeCell ref="BP5:BP6"/>
    <mergeCell ref="BO5:BO6"/>
    <mergeCell ref="BN5:BN6"/>
    <mergeCell ref="AT112:AX112"/>
    <mergeCell ref="X112:AN112"/>
    <mergeCell ref="AQ4:AQ6"/>
    <mergeCell ref="AO112:AS112"/>
    <mergeCell ref="AR4:AR6"/>
    <mergeCell ref="AS4:AS6"/>
    <mergeCell ref="AT4:AT6"/>
    <mergeCell ref="AU4:AU6"/>
    <mergeCell ref="AV4:AV6"/>
    <mergeCell ref="AW4:AW6"/>
    <mergeCell ref="AX4:AX6"/>
    <mergeCell ref="AF4:AF5"/>
    <mergeCell ref="AE4:AE5"/>
    <mergeCell ref="AD4:AD5"/>
    <mergeCell ref="AO4:AO6"/>
    <mergeCell ref="AP4:AP6"/>
    <mergeCell ref="BF4:BJ4"/>
    <mergeCell ref="BC4:BD4"/>
    <mergeCell ref="BK4:BO4"/>
    <mergeCell ref="BP4:BT4"/>
    <mergeCell ref="Q4:R4"/>
    <mergeCell ref="AB3:AB5"/>
    <mergeCell ref="AA3:AA5"/>
    <mergeCell ref="Z3:Z5"/>
    <mergeCell ref="Y3:Y5"/>
    <mergeCell ref="X3:X5"/>
    <mergeCell ref="W3:W5"/>
    <mergeCell ref="V3:V5"/>
    <mergeCell ref="U3:U5"/>
    <mergeCell ref="AC4:AC5"/>
    <mergeCell ref="T4:T5"/>
    <mergeCell ref="S4:S5"/>
    <mergeCell ref="AK4:AK5"/>
    <mergeCell ref="AJ4:AJ5"/>
    <mergeCell ref="AI4:AI5"/>
    <mergeCell ref="AH4:AH5"/>
    <mergeCell ref="AG4:AG5"/>
    <mergeCell ref="A2:C2"/>
    <mergeCell ref="A3:B3"/>
    <mergeCell ref="K3:T3"/>
    <mergeCell ref="K4:L4"/>
    <mergeCell ref="M4:N4"/>
    <mergeCell ref="O4:P4"/>
    <mergeCell ref="A4:A5"/>
    <mergeCell ref="B4:B5"/>
    <mergeCell ref="C3:C5"/>
    <mergeCell ref="D3:D5"/>
    <mergeCell ref="E3:E5"/>
    <mergeCell ref="BF3:BT3"/>
    <mergeCell ref="AY3:BE3"/>
    <mergeCell ref="AT3:AX3"/>
    <mergeCell ref="AC3:AS3"/>
    <mergeCell ref="F3:F5"/>
    <mergeCell ref="G3:G5"/>
    <mergeCell ref="H3:H5"/>
    <mergeCell ref="I3:I5"/>
    <mergeCell ref="J3:J5"/>
    <mergeCell ref="AY4:AY5"/>
    <mergeCell ref="AZ4:AZ5"/>
    <mergeCell ref="BA4:BA5"/>
    <mergeCell ref="BB4:BB5"/>
    <mergeCell ref="AN4:AN5"/>
    <mergeCell ref="AM4:AM5"/>
    <mergeCell ref="AL4:AL5"/>
  </mergeCells>
  <pageMargins left="0.70000004768371604" right="0.70000004768371604" top="0.75" bottom="0.75" header="0.30000001192092901" footer="0.30000001192092901"/>
  <pageSetup paperSize="9" fitToWidth="0" fitToHeight="0" orientation="portrait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9"/>
  <sheetViews>
    <sheetView workbookViewId="0"/>
  </sheetViews>
  <sheetFormatPr defaultColWidth="9" defaultRowHeight="15" x14ac:dyDescent="0.25"/>
  <cols>
    <col min="1" max="1" width="5.85546875" customWidth="1"/>
    <col min="3" max="14" width="14.5703125" customWidth="1"/>
  </cols>
  <sheetData>
    <row r="2" spans="1:14" x14ac:dyDescent="0.25">
      <c r="A2" s="672" t="s">
        <v>1026</v>
      </c>
      <c r="B2" s="673"/>
      <c r="C2" s="673"/>
      <c r="D2" s="673"/>
      <c r="E2" s="673"/>
      <c r="F2" s="673"/>
      <c r="G2" s="673"/>
      <c r="H2" s="673"/>
      <c r="I2" s="673"/>
      <c r="J2" s="674"/>
    </row>
    <row r="3" spans="1:14" ht="25.5" customHeight="1" x14ac:dyDescent="0.25">
      <c r="A3" s="363"/>
      <c r="B3" s="363"/>
      <c r="C3" s="675" t="s">
        <v>922</v>
      </c>
      <c r="D3" s="676"/>
      <c r="E3" s="677"/>
      <c r="F3" s="675" t="s">
        <v>924</v>
      </c>
      <c r="G3" s="676"/>
      <c r="H3" s="677"/>
      <c r="I3" s="675" t="s">
        <v>925</v>
      </c>
      <c r="J3" s="676"/>
      <c r="K3" s="677"/>
      <c r="L3" s="600" t="s">
        <v>930</v>
      </c>
      <c r="M3" s="678"/>
      <c r="N3" s="601"/>
    </row>
    <row r="4" spans="1:14" ht="25.5" customHeight="1" x14ac:dyDescent="0.25">
      <c r="A4" s="363"/>
      <c r="B4" s="363"/>
      <c r="C4" s="364" t="s">
        <v>1027</v>
      </c>
      <c r="D4" s="364" t="s">
        <v>1028</v>
      </c>
      <c r="E4" s="364" t="s">
        <v>1029</v>
      </c>
      <c r="F4" s="364" t="s">
        <v>1027</v>
      </c>
      <c r="G4" s="364" t="s">
        <v>1028</v>
      </c>
      <c r="H4" s="364" t="s">
        <v>1029</v>
      </c>
      <c r="I4" s="364" t="s">
        <v>1027</v>
      </c>
      <c r="J4" s="364" t="s">
        <v>1028</v>
      </c>
      <c r="K4" s="364" t="s">
        <v>1029</v>
      </c>
      <c r="L4" s="364" t="s">
        <v>1027</v>
      </c>
      <c r="M4" s="364" t="s">
        <v>1028</v>
      </c>
      <c r="N4" s="364" t="s">
        <v>1029</v>
      </c>
    </row>
    <row r="5" spans="1:14" x14ac:dyDescent="0.25">
      <c r="A5" s="363">
        <v>1</v>
      </c>
      <c r="B5" s="363" t="s">
        <v>1030</v>
      </c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</row>
    <row r="6" spans="1:14" x14ac:dyDescent="0.25">
      <c r="A6" s="363">
        <v>2</v>
      </c>
      <c r="B6" s="363" t="s">
        <v>1031</v>
      </c>
      <c r="C6" s="365"/>
      <c r="D6" s="365">
        <f>[9]фев!$K$48</f>
        <v>3500</v>
      </c>
      <c r="E6" s="365"/>
      <c r="F6" s="365">
        <f>[9]фев!$K$6</f>
        <v>53403.67</v>
      </c>
      <c r="G6" s="365">
        <f>[9]фев!$K$5</f>
        <v>3500</v>
      </c>
      <c r="H6" s="365"/>
      <c r="I6" s="365">
        <f>[9]фев!$K$8</f>
        <v>53403.67</v>
      </c>
      <c r="J6" s="365">
        <f>[9]фев!$K$7</f>
        <v>3500</v>
      </c>
      <c r="K6" s="365"/>
      <c r="L6" s="365"/>
      <c r="M6" s="365">
        <f>[9]фев!$K$52</f>
        <v>3500</v>
      </c>
      <c r="N6" s="365"/>
    </row>
    <row r="7" spans="1:14" x14ac:dyDescent="0.25">
      <c r="A7" s="363">
        <v>3</v>
      </c>
      <c r="B7" s="363" t="s">
        <v>853</v>
      </c>
      <c r="C7" s="365">
        <f>[9]март!$K$74</f>
        <v>70246.34</v>
      </c>
      <c r="D7" s="365"/>
      <c r="E7" s="365">
        <f>[9]март!$K$72+[9]март!$K$73</f>
        <v>44391.82</v>
      </c>
      <c r="F7" s="365">
        <f>[9]март!$K$6</f>
        <v>50733.47</v>
      </c>
      <c r="G7" s="365"/>
      <c r="H7" s="365"/>
      <c r="I7" s="365">
        <f>[9]март!$K$7</f>
        <v>78051.509999999995</v>
      </c>
      <c r="J7" s="365"/>
      <c r="K7" s="365"/>
      <c r="L7" s="365"/>
      <c r="M7" s="365"/>
      <c r="N7" s="365"/>
    </row>
    <row r="8" spans="1:14" x14ac:dyDescent="0.25">
      <c r="A8" s="363">
        <v>4</v>
      </c>
      <c r="B8" s="363" t="s">
        <v>854</v>
      </c>
      <c r="C8" s="365">
        <f>[10]апрель!$H$49</f>
        <v>89545.51</v>
      </c>
      <c r="D8" s="365"/>
      <c r="E8" s="365"/>
      <c r="F8" s="365">
        <f>[10]апрель!$H$8</f>
        <v>74678.58</v>
      </c>
      <c r="G8" s="365"/>
      <c r="H8" s="365">
        <f>[10]апрель!$H$6+[10]апрель!$H$7</f>
        <v>30267.15</v>
      </c>
      <c r="I8" s="365">
        <f>[10]апрель!$H$9</f>
        <v>89545.51</v>
      </c>
      <c r="J8" s="365"/>
      <c r="K8" s="365"/>
      <c r="L8" s="365">
        <f>[10]апрель!$H$54</f>
        <v>67632.44</v>
      </c>
      <c r="M8" s="365"/>
      <c r="N8" s="365"/>
    </row>
    <row r="9" spans="1:14" x14ac:dyDescent="0.25">
      <c r="A9" s="363">
        <v>5</v>
      </c>
      <c r="B9" s="363" t="s">
        <v>855</v>
      </c>
      <c r="C9" s="365">
        <f>[10]май!$I$54</f>
        <v>78051.509999999995</v>
      </c>
      <c r="D9" s="365"/>
      <c r="E9" s="365"/>
      <c r="F9" s="365">
        <f>[10]май!$I$8</f>
        <v>46830.91</v>
      </c>
      <c r="G9" s="365"/>
      <c r="H9" s="365"/>
      <c r="I9" s="365">
        <f>[10]май!$I$9</f>
        <v>78051.509999999995</v>
      </c>
      <c r="J9" s="365"/>
      <c r="K9" s="365"/>
      <c r="L9" s="365">
        <f>[10]май!$I$60</f>
        <v>71014.06</v>
      </c>
      <c r="M9" s="365"/>
      <c r="N9" s="365"/>
    </row>
    <row r="10" spans="1:14" x14ac:dyDescent="0.25">
      <c r="A10" s="363">
        <v>6</v>
      </c>
      <c r="B10" s="363" t="s">
        <v>856</v>
      </c>
      <c r="C10" s="365">
        <f>[10]июнь!$I$54</f>
        <v>78051.509999999995</v>
      </c>
      <c r="D10" s="365">
        <v>5000</v>
      </c>
      <c r="E10" s="365"/>
      <c r="F10" s="365">
        <f>[10]июнь!$I$8</f>
        <v>46830.91</v>
      </c>
      <c r="G10" s="365">
        <v>5000</v>
      </c>
      <c r="H10" s="365"/>
      <c r="I10" s="365">
        <f>[10]июнь!$I$10</f>
        <v>101434.84</v>
      </c>
      <c r="J10" s="365">
        <v>5000</v>
      </c>
      <c r="K10" s="365"/>
      <c r="L10" s="365">
        <f>[10]июнь!$I$60</f>
        <v>71014.06</v>
      </c>
      <c r="M10" s="365">
        <v>5000</v>
      </c>
      <c r="N10" s="365"/>
    </row>
    <row r="11" spans="1:14" x14ac:dyDescent="0.25">
      <c r="A11" s="363">
        <v>7</v>
      </c>
      <c r="B11" s="363" t="s">
        <v>857</v>
      </c>
      <c r="C11" s="365">
        <v>438364.04</v>
      </c>
      <c r="D11" s="365"/>
      <c r="E11" s="365"/>
      <c r="F11" s="365">
        <v>338364.04</v>
      </c>
      <c r="G11" s="365"/>
      <c r="H11" s="365"/>
      <c r="I11" s="365">
        <v>438364.04</v>
      </c>
      <c r="J11" s="365"/>
      <c r="K11" s="365"/>
      <c r="L11" s="365">
        <v>106521.12</v>
      </c>
      <c r="M11" s="365"/>
      <c r="N11" s="365"/>
    </row>
    <row r="12" spans="1:14" x14ac:dyDescent="0.25">
      <c r="A12" s="363">
        <v>8</v>
      </c>
      <c r="B12" s="363" t="s">
        <v>858</v>
      </c>
      <c r="C12" s="365">
        <v>337438.5</v>
      </c>
      <c r="D12" s="365"/>
      <c r="E12" s="365"/>
      <c r="F12" s="365">
        <v>387438.5</v>
      </c>
      <c r="G12" s="365"/>
      <c r="H12" s="365"/>
      <c r="I12" s="365">
        <v>437438.5</v>
      </c>
      <c r="J12" s="365"/>
      <c r="K12" s="365"/>
      <c r="L12" s="365">
        <v>106521.12</v>
      </c>
      <c r="M12" s="365"/>
      <c r="N12" s="365"/>
    </row>
    <row r="13" spans="1:14" x14ac:dyDescent="0.25">
      <c r="A13" s="363">
        <v>9</v>
      </c>
      <c r="B13" s="363" t="s">
        <v>859</v>
      </c>
      <c r="C13" s="365"/>
      <c r="D13" s="365"/>
      <c r="E13" s="365"/>
      <c r="F13" s="365"/>
      <c r="G13" s="365"/>
      <c r="H13" s="365"/>
      <c r="I13" s="365"/>
      <c r="J13" s="365"/>
      <c r="K13" s="365"/>
      <c r="L13" s="365"/>
      <c r="M13" s="365"/>
      <c r="N13" s="365"/>
    </row>
    <row r="14" spans="1:14" x14ac:dyDescent="0.25">
      <c r="A14" s="363">
        <v>10</v>
      </c>
      <c r="B14" s="363" t="s">
        <v>860</v>
      </c>
      <c r="C14" s="365"/>
      <c r="D14" s="365"/>
      <c r="E14" s="365"/>
      <c r="F14" s="365"/>
      <c r="G14" s="365"/>
      <c r="H14" s="365"/>
      <c r="I14" s="365"/>
      <c r="J14" s="365"/>
      <c r="K14" s="365"/>
      <c r="L14" s="365"/>
      <c r="M14" s="365"/>
      <c r="N14" s="365"/>
    </row>
    <row r="15" spans="1:14" x14ac:dyDescent="0.25">
      <c r="A15" s="363">
        <v>11</v>
      </c>
      <c r="B15" s="363" t="s">
        <v>861</v>
      </c>
      <c r="C15" s="365"/>
      <c r="D15" s="365"/>
      <c r="E15" s="365"/>
      <c r="F15" s="365"/>
      <c r="G15" s="365"/>
      <c r="H15" s="365"/>
      <c r="I15" s="365"/>
      <c r="J15" s="365"/>
      <c r="K15" s="365"/>
      <c r="L15" s="365"/>
      <c r="M15" s="365"/>
      <c r="N15" s="365"/>
    </row>
    <row r="16" spans="1:14" x14ac:dyDescent="0.25">
      <c r="A16" s="363">
        <v>12</v>
      </c>
      <c r="B16" s="363" t="s">
        <v>862</v>
      </c>
      <c r="C16" s="365"/>
      <c r="D16" s="365"/>
      <c r="E16" s="365"/>
      <c r="F16" s="365"/>
      <c r="G16" s="365"/>
      <c r="H16" s="365"/>
      <c r="I16" s="365"/>
      <c r="J16" s="365"/>
      <c r="K16" s="365"/>
      <c r="L16" s="365"/>
      <c r="M16" s="365"/>
      <c r="N16" s="365"/>
    </row>
    <row r="17" spans="1:14" x14ac:dyDescent="0.25">
      <c r="A17" s="363"/>
      <c r="B17" s="363" t="s">
        <v>820</v>
      </c>
      <c r="C17" s="366">
        <f t="shared" ref="C17:N17" si="0">SUM(C5:C16)</f>
        <v>1091697.4099999999</v>
      </c>
      <c r="D17" s="365">
        <f t="shared" si="0"/>
        <v>8500</v>
      </c>
      <c r="E17" s="365">
        <f t="shared" si="0"/>
        <v>44391.82</v>
      </c>
      <c r="F17" s="366">
        <f t="shared" si="0"/>
        <v>998280.08000000007</v>
      </c>
      <c r="G17" s="365">
        <f t="shared" si="0"/>
        <v>8500</v>
      </c>
      <c r="H17" s="365">
        <f t="shared" si="0"/>
        <v>30267.15</v>
      </c>
      <c r="I17" s="366">
        <f t="shared" si="0"/>
        <v>1276289.58</v>
      </c>
      <c r="J17" s="365">
        <f t="shared" si="0"/>
        <v>8500</v>
      </c>
      <c r="K17" s="365">
        <f t="shared" si="0"/>
        <v>0</v>
      </c>
      <c r="L17" s="366">
        <f t="shared" si="0"/>
        <v>422702.8</v>
      </c>
      <c r="M17" s="365">
        <f t="shared" si="0"/>
        <v>8500</v>
      </c>
      <c r="N17" s="365">
        <f t="shared" si="0"/>
        <v>0</v>
      </c>
    </row>
    <row r="18" spans="1:14" x14ac:dyDescent="0.25">
      <c r="A18" s="363"/>
      <c r="B18" s="363"/>
      <c r="C18" s="365"/>
      <c r="D18" s="365"/>
      <c r="E18" s="365"/>
      <c r="F18" s="365"/>
      <c r="G18" s="365"/>
      <c r="H18" s="365"/>
      <c r="I18" s="365"/>
      <c r="J18" s="365"/>
      <c r="K18" s="365"/>
      <c r="L18" s="365"/>
      <c r="M18" s="365"/>
      <c r="N18" s="365"/>
    </row>
    <row r="19" spans="1:14" x14ac:dyDescent="0.25">
      <c r="A19" s="363"/>
      <c r="B19" s="363"/>
      <c r="C19" s="365"/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</row>
  </sheetData>
  <mergeCells count="5">
    <mergeCell ref="A2:J2"/>
    <mergeCell ref="C3:E3"/>
    <mergeCell ref="F3:H3"/>
    <mergeCell ref="I3:K3"/>
    <mergeCell ref="L3:N3"/>
  </mergeCells>
  <pageMargins left="0.70000004768371604" right="0.70000004768371604" top="0.75" bottom="0.75" header="0.30000001192092901" footer="0.30000001192092901"/>
  <pageSetup paperSize="9" scale="46" orientation="portrait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workbookViewId="0"/>
  </sheetViews>
  <sheetFormatPr defaultColWidth="8.7109375" defaultRowHeight="11.25" x14ac:dyDescent="0.2"/>
  <cols>
    <col min="1" max="1" width="4" style="367" customWidth="1"/>
    <col min="2" max="2" width="31.140625" style="367" customWidth="1"/>
    <col min="3" max="3" width="30.7109375" style="367" customWidth="1"/>
    <col min="4" max="4" width="9.85546875" style="367" customWidth="1"/>
    <col min="5" max="5" width="12.85546875" style="367" customWidth="1"/>
    <col min="6" max="8" width="12.7109375" style="367" customWidth="1"/>
    <col min="9" max="9" width="14.85546875" style="367" customWidth="1"/>
    <col min="10" max="10" width="32.42578125" style="367" customWidth="1"/>
    <col min="11" max="11" width="8.7109375" style="367" bestFit="1" customWidth="1"/>
    <col min="12" max="16384" width="8.7109375" style="367"/>
  </cols>
  <sheetData>
    <row r="1" spans="1:9" ht="15.75" x14ac:dyDescent="0.25">
      <c r="A1" s="680" t="s">
        <v>1032</v>
      </c>
      <c r="B1" s="680"/>
    </row>
    <row r="2" spans="1:9" ht="15.75" x14ac:dyDescent="0.25">
      <c r="A2" s="368"/>
      <c r="B2" s="368"/>
    </row>
    <row r="3" spans="1:9" ht="0.75" customHeight="1" x14ac:dyDescent="0.25">
      <c r="B3" s="681"/>
      <c r="C3" s="681"/>
      <c r="D3" s="681"/>
      <c r="E3" s="681"/>
      <c r="F3" s="681"/>
      <c r="G3" s="369"/>
      <c r="H3" s="369"/>
    </row>
    <row r="4" spans="1:9" ht="15.75" hidden="1" x14ac:dyDescent="0.25">
      <c r="B4" s="681"/>
      <c r="C4" s="681"/>
      <c r="D4" s="681"/>
      <c r="E4" s="681"/>
      <c r="F4" s="681"/>
      <c r="G4" s="369"/>
      <c r="H4" s="369"/>
    </row>
    <row r="5" spans="1:9" hidden="1" x14ac:dyDescent="0.2"/>
    <row r="6" spans="1:9" s="370" customFormat="1" ht="45" x14ac:dyDescent="0.25">
      <c r="A6" s="371" t="s">
        <v>1033</v>
      </c>
      <c r="B6" s="371" t="s">
        <v>1034</v>
      </c>
      <c r="C6" s="371" t="s">
        <v>1035</v>
      </c>
      <c r="D6" s="371" t="s">
        <v>1036</v>
      </c>
      <c r="E6" s="371" t="s">
        <v>1037</v>
      </c>
      <c r="F6" s="371" t="s">
        <v>835</v>
      </c>
      <c r="G6" s="371" t="s">
        <v>1038</v>
      </c>
      <c r="H6" s="371"/>
      <c r="I6" s="371" t="s">
        <v>1039</v>
      </c>
    </row>
    <row r="7" spans="1:9" s="372" customFormat="1" ht="26.25" customHeight="1" x14ac:dyDescent="0.25">
      <c r="A7" s="373">
        <v>1</v>
      </c>
      <c r="B7" s="374" t="s">
        <v>22</v>
      </c>
      <c r="C7" s="374" t="s">
        <v>1040</v>
      </c>
      <c r="D7" s="375" t="s">
        <v>1041</v>
      </c>
      <c r="E7" s="376">
        <v>38343</v>
      </c>
      <c r="F7" s="375" t="s">
        <v>1042</v>
      </c>
      <c r="G7" s="375">
        <v>2019</v>
      </c>
      <c r="H7" s="375">
        <v>2004</v>
      </c>
      <c r="I7" s="375">
        <f t="shared" ref="I7:I36" si="0">G7-H7</f>
        <v>15</v>
      </c>
    </row>
    <row r="8" spans="1:9" s="372" customFormat="1" ht="26.25" customHeight="1" x14ac:dyDescent="0.25">
      <c r="A8" s="373">
        <f t="shared" ref="A8:A36" si="1">A7+1</f>
        <v>2</v>
      </c>
      <c r="B8" s="374" t="s">
        <v>22</v>
      </c>
      <c r="C8" s="374" t="s">
        <v>1043</v>
      </c>
      <c r="D8" s="375" t="s">
        <v>1044</v>
      </c>
      <c r="E8" s="376">
        <v>38343</v>
      </c>
      <c r="F8" s="375" t="s">
        <v>1042</v>
      </c>
      <c r="G8" s="375">
        <v>2019</v>
      </c>
      <c r="H8" s="375">
        <v>2004</v>
      </c>
      <c r="I8" s="375">
        <f t="shared" si="0"/>
        <v>15</v>
      </c>
    </row>
    <row r="9" spans="1:9" s="372" customFormat="1" ht="26.25" customHeight="1" x14ac:dyDescent="0.25">
      <c r="A9" s="373">
        <f t="shared" si="1"/>
        <v>3</v>
      </c>
      <c r="B9" s="374" t="s">
        <v>1045</v>
      </c>
      <c r="C9" s="374" t="s">
        <v>1046</v>
      </c>
      <c r="D9" s="375" t="s">
        <v>1044</v>
      </c>
      <c r="E9" s="376">
        <v>38250</v>
      </c>
      <c r="F9" s="375" t="s">
        <v>1042</v>
      </c>
      <c r="G9" s="375">
        <v>2019</v>
      </c>
      <c r="H9" s="375">
        <v>2004</v>
      </c>
      <c r="I9" s="375">
        <f t="shared" si="0"/>
        <v>15</v>
      </c>
    </row>
    <row r="10" spans="1:9" s="372" customFormat="1" ht="26.25" customHeight="1" x14ac:dyDescent="0.25">
      <c r="A10" s="373">
        <f t="shared" si="1"/>
        <v>4</v>
      </c>
      <c r="B10" s="374" t="s">
        <v>1047</v>
      </c>
      <c r="C10" s="374" t="s">
        <v>1048</v>
      </c>
      <c r="D10" s="375" t="s">
        <v>1041</v>
      </c>
      <c r="E10" s="376">
        <v>42640</v>
      </c>
      <c r="F10" s="375" t="s">
        <v>1042</v>
      </c>
      <c r="G10" s="375">
        <v>2019</v>
      </c>
      <c r="H10" s="375">
        <v>2016</v>
      </c>
      <c r="I10" s="375">
        <f t="shared" si="0"/>
        <v>3</v>
      </c>
    </row>
    <row r="11" spans="1:9" s="372" customFormat="1" ht="26.25" customHeight="1" x14ac:dyDescent="0.25">
      <c r="A11" s="373">
        <f t="shared" si="1"/>
        <v>5</v>
      </c>
      <c r="B11" s="374" t="s">
        <v>919</v>
      </c>
      <c r="C11" s="374"/>
      <c r="D11" s="375"/>
      <c r="E11" s="376">
        <v>43525</v>
      </c>
      <c r="F11" s="375" t="s">
        <v>1042</v>
      </c>
      <c r="G11" s="375">
        <v>2019</v>
      </c>
      <c r="H11" s="375">
        <v>2019</v>
      </c>
      <c r="I11" s="375">
        <f t="shared" si="0"/>
        <v>0</v>
      </c>
    </row>
    <row r="12" spans="1:9" s="372" customFormat="1" ht="26.25" customHeight="1" x14ac:dyDescent="0.25">
      <c r="A12" s="373">
        <f t="shared" si="1"/>
        <v>6</v>
      </c>
      <c r="B12" s="374" t="s">
        <v>1049</v>
      </c>
      <c r="C12" s="374" t="s">
        <v>1050</v>
      </c>
      <c r="D12" s="375" t="s">
        <v>1044</v>
      </c>
      <c r="E12" s="376">
        <v>39913</v>
      </c>
      <c r="F12" s="375" t="s">
        <v>1042</v>
      </c>
      <c r="G12" s="375">
        <v>2019</v>
      </c>
      <c r="H12" s="375">
        <v>2009</v>
      </c>
      <c r="I12" s="375">
        <f t="shared" si="0"/>
        <v>10</v>
      </c>
    </row>
    <row r="13" spans="1:9" s="372" customFormat="1" ht="26.25" customHeight="1" x14ac:dyDescent="0.25">
      <c r="A13" s="373">
        <f t="shared" si="1"/>
        <v>7</v>
      </c>
      <c r="B13" s="374" t="s">
        <v>1049</v>
      </c>
      <c r="C13" s="374" t="s">
        <v>1051</v>
      </c>
      <c r="D13" s="375" t="s">
        <v>1041</v>
      </c>
      <c r="E13" s="376">
        <v>42972</v>
      </c>
      <c r="F13" s="375" t="s">
        <v>1042</v>
      </c>
      <c r="G13" s="375">
        <v>2019</v>
      </c>
      <c r="H13" s="375">
        <v>2017</v>
      </c>
      <c r="I13" s="375">
        <f t="shared" si="0"/>
        <v>2</v>
      </c>
    </row>
    <row r="14" spans="1:9" s="372" customFormat="1" ht="26.25" customHeight="1" x14ac:dyDescent="0.25">
      <c r="A14" s="373">
        <f t="shared" si="1"/>
        <v>8</v>
      </c>
      <c r="B14" s="374" t="s">
        <v>1049</v>
      </c>
      <c r="C14" s="374" t="s">
        <v>1052</v>
      </c>
      <c r="D14" s="375" t="s">
        <v>1044</v>
      </c>
      <c r="E14" s="376">
        <v>41675</v>
      </c>
      <c r="F14" s="375" t="s">
        <v>1042</v>
      </c>
      <c r="G14" s="375">
        <v>2019</v>
      </c>
      <c r="H14" s="375">
        <v>2014</v>
      </c>
      <c r="I14" s="375">
        <f t="shared" si="0"/>
        <v>5</v>
      </c>
    </row>
    <row r="15" spans="1:9" s="372" customFormat="1" ht="26.25" customHeight="1" x14ac:dyDescent="0.25">
      <c r="A15" s="373">
        <f t="shared" si="1"/>
        <v>9</v>
      </c>
      <c r="B15" s="374" t="s">
        <v>1053</v>
      </c>
      <c r="C15" s="374" t="s">
        <v>1054</v>
      </c>
      <c r="D15" s="375" t="s">
        <v>1044</v>
      </c>
      <c r="E15" s="376">
        <v>42987</v>
      </c>
      <c r="F15" s="375" t="s">
        <v>1042</v>
      </c>
      <c r="G15" s="375">
        <v>2019</v>
      </c>
      <c r="H15" s="375">
        <v>2017</v>
      </c>
      <c r="I15" s="375">
        <f t="shared" si="0"/>
        <v>2</v>
      </c>
    </row>
    <row r="16" spans="1:9" s="372" customFormat="1" ht="26.25" customHeight="1" x14ac:dyDescent="0.25">
      <c r="A16" s="373">
        <f t="shared" si="1"/>
        <v>10</v>
      </c>
      <c r="B16" s="374" t="s">
        <v>1053</v>
      </c>
      <c r="C16" s="374" t="s">
        <v>1055</v>
      </c>
      <c r="D16" s="375" t="s">
        <v>1041</v>
      </c>
      <c r="E16" s="376">
        <v>41151</v>
      </c>
      <c r="F16" s="375" t="s">
        <v>1042</v>
      </c>
      <c r="G16" s="375">
        <v>2019</v>
      </c>
      <c r="H16" s="375">
        <v>2012</v>
      </c>
      <c r="I16" s="375">
        <f t="shared" si="0"/>
        <v>7</v>
      </c>
    </row>
    <row r="17" spans="1:10" s="372" customFormat="1" ht="26.25" customHeight="1" x14ac:dyDescent="0.25">
      <c r="A17" s="373">
        <f t="shared" si="1"/>
        <v>11</v>
      </c>
      <c r="B17" s="374" t="s">
        <v>914</v>
      </c>
      <c r="C17" s="374" t="s">
        <v>1056</v>
      </c>
      <c r="D17" s="375" t="s">
        <v>1044</v>
      </c>
      <c r="E17" s="376">
        <v>38914</v>
      </c>
      <c r="F17" s="375" t="s">
        <v>1042</v>
      </c>
      <c r="G17" s="375">
        <v>2019</v>
      </c>
      <c r="H17" s="375">
        <v>2006</v>
      </c>
      <c r="I17" s="375">
        <f t="shared" si="0"/>
        <v>13</v>
      </c>
    </row>
    <row r="18" spans="1:10" s="372" customFormat="1" ht="26.25" customHeight="1" x14ac:dyDescent="0.25">
      <c r="A18" s="373">
        <f t="shared" si="1"/>
        <v>12</v>
      </c>
      <c r="B18" s="374" t="s">
        <v>914</v>
      </c>
      <c r="C18" s="374" t="s">
        <v>1057</v>
      </c>
      <c r="D18" s="375" t="s">
        <v>1044</v>
      </c>
      <c r="E18" s="376">
        <v>40653</v>
      </c>
      <c r="F18" s="375" t="s">
        <v>1042</v>
      </c>
      <c r="G18" s="375">
        <v>2019</v>
      </c>
      <c r="H18" s="375">
        <v>2011</v>
      </c>
      <c r="I18" s="375">
        <f t="shared" si="0"/>
        <v>8</v>
      </c>
    </row>
    <row r="19" spans="1:10" s="372" customFormat="1" ht="26.25" customHeight="1" x14ac:dyDescent="0.25">
      <c r="A19" s="373">
        <f t="shared" si="1"/>
        <v>13</v>
      </c>
      <c r="B19" s="374" t="s">
        <v>1058</v>
      </c>
      <c r="C19" s="374" t="s">
        <v>1059</v>
      </c>
      <c r="D19" s="375" t="s">
        <v>1041</v>
      </c>
      <c r="E19" s="376">
        <v>37871</v>
      </c>
      <c r="F19" s="375" t="s">
        <v>1060</v>
      </c>
      <c r="G19" s="375">
        <v>2019</v>
      </c>
      <c r="H19" s="375">
        <v>2003</v>
      </c>
      <c r="I19" s="375">
        <f t="shared" si="0"/>
        <v>16</v>
      </c>
    </row>
    <row r="20" spans="1:10" s="372" customFormat="1" ht="26.25" customHeight="1" x14ac:dyDescent="0.25">
      <c r="A20" s="373">
        <f t="shared" si="1"/>
        <v>14</v>
      </c>
      <c r="B20" s="374" t="s">
        <v>1058</v>
      </c>
      <c r="C20" s="374" t="s">
        <v>1061</v>
      </c>
      <c r="D20" s="375" t="s">
        <v>1044</v>
      </c>
      <c r="E20" s="376">
        <v>40804</v>
      </c>
      <c r="F20" s="375" t="s">
        <v>1060</v>
      </c>
      <c r="G20" s="375">
        <v>2019</v>
      </c>
      <c r="H20" s="375">
        <v>2011</v>
      </c>
      <c r="I20" s="375">
        <f t="shared" si="0"/>
        <v>8</v>
      </c>
    </row>
    <row r="21" spans="1:10" s="372" customFormat="1" ht="26.25" customHeight="1" x14ac:dyDescent="0.25">
      <c r="A21" s="373">
        <f t="shared" si="1"/>
        <v>15</v>
      </c>
      <c r="B21" s="374" t="s">
        <v>1062</v>
      </c>
      <c r="C21" s="374" t="s">
        <v>1063</v>
      </c>
      <c r="D21" s="375" t="s">
        <v>1044</v>
      </c>
      <c r="E21" s="376">
        <v>41675</v>
      </c>
      <c r="F21" s="375" t="s">
        <v>1060</v>
      </c>
      <c r="G21" s="375">
        <v>2019</v>
      </c>
      <c r="H21" s="375">
        <v>2014</v>
      </c>
      <c r="I21" s="375">
        <f t="shared" si="0"/>
        <v>5</v>
      </c>
    </row>
    <row r="22" spans="1:10" s="372" customFormat="1" ht="26.25" customHeight="1" x14ac:dyDescent="0.25">
      <c r="A22" s="373">
        <f t="shared" si="1"/>
        <v>16</v>
      </c>
      <c r="B22" s="374" t="s">
        <v>1064</v>
      </c>
      <c r="C22" s="374" t="s">
        <v>1065</v>
      </c>
      <c r="D22" s="375" t="s">
        <v>1041</v>
      </c>
      <c r="E22" s="376">
        <v>39713</v>
      </c>
      <c r="F22" s="375" t="s">
        <v>1060</v>
      </c>
      <c r="G22" s="375">
        <v>2019</v>
      </c>
      <c r="H22" s="375">
        <v>2008</v>
      </c>
      <c r="I22" s="375">
        <f t="shared" si="0"/>
        <v>11</v>
      </c>
    </row>
    <row r="23" spans="1:10" s="372" customFormat="1" ht="26.25" customHeight="1" x14ac:dyDescent="0.25">
      <c r="A23" s="373">
        <f t="shared" si="1"/>
        <v>17</v>
      </c>
      <c r="B23" s="374" t="s">
        <v>971</v>
      </c>
      <c r="C23" s="374" t="s">
        <v>1066</v>
      </c>
      <c r="D23" s="375" t="s">
        <v>1044</v>
      </c>
      <c r="E23" s="376">
        <v>38534</v>
      </c>
      <c r="F23" s="375" t="s">
        <v>1060</v>
      </c>
      <c r="G23" s="375">
        <v>2019</v>
      </c>
      <c r="H23" s="375">
        <v>2005</v>
      </c>
      <c r="I23" s="375">
        <f t="shared" si="0"/>
        <v>14</v>
      </c>
    </row>
    <row r="24" spans="1:10" s="372" customFormat="1" ht="26.25" customHeight="1" x14ac:dyDescent="0.25">
      <c r="A24" s="373">
        <f t="shared" si="1"/>
        <v>18</v>
      </c>
      <c r="B24" s="374" t="s">
        <v>947</v>
      </c>
      <c r="C24" s="374" t="s">
        <v>1067</v>
      </c>
      <c r="D24" s="377" t="s">
        <v>1041</v>
      </c>
      <c r="E24" s="378">
        <v>40676</v>
      </c>
      <c r="F24" s="377" t="s">
        <v>1060</v>
      </c>
      <c r="G24" s="375">
        <v>2019</v>
      </c>
      <c r="H24" s="377">
        <v>2011</v>
      </c>
      <c r="I24" s="377">
        <f t="shared" si="0"/>
        <v>8</v>
      </c>
    </row>
    <row r="25" spans="1:10" s="372" customFormat="1" ht="33" customHeight="1" x14ac:dyDescent="0.25">
      <c r="A25" s="373">
        <f t="shared" si="1"/>
        <v>19</v>
      </c>
      <c r="B25" s="374" t="s">
        <v>890</v>
      </c>
      <c r="C25" s="374" t="s">
        <v>1068</v>
      </c>
      <c r="D25" s="377" t="s">
        <v>1044</v>
      </c>
      <c r="E25" s="378">
        <v>39151</v>
      </c>
      <c r="F25" s="377" t="s">
        <v>1042</v>
      </c>
      <c r="G25" s="375">
        <v>2019</v>
      </c>
      <c r="H25" s="377">
        <v>2007</v>
      </c>
      <c r="I25" s="377">
        <f t="shared" si="0"/>
        <v>12</v>
      </c>
    </row>
    <row r="26" spans="1:10" s="372" customFormat="1" ht="33" customHeight="1" x14ac:dyDescent="0.25">
      <c r="A26" s="373">
        <f t="shared" si="1"/>
        <v>20</v>
      </c>
      <c r="B26" s="374" t="s">
        <v>890</v>
      </c>
      <c r="C26" s="374" t="s">
        <v>1069</v>
      </c>
      <c r="D26" s="377" t="s">
        <v>1041</v>
      </c>
      <c r="E26" s="378">
        <v>42918</v>
      </c>
      <c r="F26" s="377" t="s">
        <v>1042</v>
      </c>
      <c r="G26" s="375">
        <v>2019</v>
      </c>
      <c r="H26" s="377">
        <v>2017</v>
      </c>
      <c r="I26" s="377">
        <f t="shared" si="0"/>
        <v>2</v>
      </c>
    </row>
    <row r="27" spans="1:10" s="379" customFormat="1" ht="30.75" customHeight="1" x14ac:dyDescent="0.25">
      <c r="A27" s="373">
        <f t="shared" si="1"/>
        <v>21</v>
      </c>
      <c r="B27" s="380" t="s">
        <v>1070</v>
      </c>
      <c r="C27" s="380" t="s">
        <v>1071</v>
      </c>
      <c r="D27" s="375" t="s">
        <v>1041</v>
      </c>
      <c r="E27" s="376">
        <v>43051</v>
      </c>
      <c r="F27" s="377" t="s">
        <v>1042</v>
      </c>
      <c r="G27" s="375">
        <v>2019</v>
      </c>
      <c r="H27" s="375">
        <v>2017</v>
      </c>
      <c r="I27" s="375">
        <f t="shared" si="0"/>
        <v>2</v>
      </c>
      <c r="J27" s="381"/>
    </row>
    <row r="28" spans="1:10" s="379" customFormat="1" ht="30.75" customHeight="1" x14ac:dyDescent="0.25">
      <c r="A28" s="373">
        <f t="shared" si="1"/>
        <v>22</v>
      </c>
      <c r="B28" s="380" t="s">
        <v>1070</v>
      </c>
      <c r="C28" s="382" t="s">
        <v>1072</v>
      </c>
      <c r="D28" s="375" t="s">
        <v>1041</v>
      </c>
      <c r="E28" s="376">
        <v>42071</v>
      </c>
      <c r="F28" s="377" t="s">
        <v>1042</v>
      </c>
      <c r="G28" s="375">
        <v>2019</v>
      </c>
      <c r="H28" s="375">
        <v>2015</v>
      </c>
      <c r="I28" s="375">
        <f t="shared" si="0"/>
        <v>4</v>
      </c>
      <c r="J28" s="381"/>
    </row>
    <row r="29" spans="1:10" s="379" customFormat="1" ht="30.75" customHeight="1" x14ac:dyDescent="0.25">
      <c r="A29" s="373">
        <f t="shared" si="1"/>
        <v>23</v>
      </c>
      <c r="B29" s="382" t="s">
        <v>1073</v>
      </c>
      <c r="C29" s="382" t="s">
        <v>1074</v>
      </c>
      <c r="D29" s="375" t="s">
        <v>1041</v>
      </c>
      <c r="E29" s="376">
        <v>40442</v>
      </c>
      <c r="F29" s="377" t="s">
        <v>1042</v>
      </c>
      <c r="G29" s="375">
        <v>2019</v>
      </c>
      <c r="H29" s="375">
        <v>2010</v>
      </c>
      <c r="I29" s="375">
        <f t="shared" si="0"/>
        <v>9</v>
      </c>
      <c r="J29" s="381"/>
    </row>
    <row r="30" spans="1:10" s="379" customFormat="1" ht="30.75" customHeight="1" x14ac:dyDescent="0.25">
      <c r="A30" s="373">
        <f t="shared" si="1"/>
        <v>24</v>
      </c>
      <c r="B30" s="382" t="s">
        <v>1075</v>
      </c>
      <c r="C30" s="382" t="s">
        <v>1076</v>
      </c>
      <c r="D30" s="375" t="s">
        <v>1044</v>
      </c>
      <c r="E30" s="376">
        <v>40994</v>
      </c>
      <c r="F30" s="377" t="s">
        <v>1042</v>
      </c>
      <c r="G30" s="375">
        <v>2019</v>
      </c>
      <c r="H30" s="375">
        <v>2012</v>
      </c>
      <c r="I30" s="375">
        <f t="shared" si="0"/>
        <v>7</v>
      </c>
      <c r="J30" s="381"/>
    </row>
    <row r="31" spans="1:10" s="379" customFormat="1" ht="30.75" customHeight="1" x14ac:dyDescent="0.25">
      <c r="A31" s="373">
        <f t="shared" si="1"/>
        <v>25</v>
      </c>
      <c r="B31" s="382" t="s">
        <v>1077</v>
      </c>
      <c r="C31" s="382" t="s">
        <v>1078</v>
      </c>
      <c r="D31" s="375" t="s">
        <v>1044</v>
      </c>
      <c r="E31" s="376">
        <v>40281</v>
      </c>
      <c r="F31" s="377" t="s">
        <v>1042</v>
      </c>
      <c r="G31" s="375">
        <v>2019</v>
      </c>
      <c r="H31" s="375">
        <v>2010</v>
      </c>
      <c r="I31" s="375">
        <f t="shared" si="0"/>
        <v>9</v>
      </c>
      <c r="J31" s="381"/>
    </row>
    <row r="32" spans="1:10" s="379" customFormat="1" ht="30.75" customHeight="1" x14ac:dyDescent="0.25">
      <c r="A32" s="373">
        <f t="shared" si="1"/>
        <v>26</v>
      </c>
      <c r="B32" s="382" t="s">
        <v>1079</v>
      </c>
      <c r="C32" s="382" t="s">
        <v>1080</v>
      </c>
      <c r="D32" s="375" t="s">
        <v>1041</v>
      </c>
      <c r="E32" s="376">
        <v>42311</v>
      </c>
      <c r="F32" s="377" t="s">
        <v>1042</v>
      </c>
      <c r="G32" s="375">
        <v>2019</v>
      </c>
      <c r="H32" s="375">
        <v>2015</v>
      </c>
      <c r="I32" s="375">
        <f t="shared" si="0"/>
        <v>4</v>
      </c>
      <c r="J32" s="381"/>
    </row>
    <row r="33" spans="1:10" s="379" customFormat="1" ht="30.75" customHeight="1" x14ac:dyDescent="0.25">
      <c r="A33" s="373">
        <f t="shared" si="1"/>
        <v>27</v>
      </c>
      <c r="B33" s="382" t="s">
        <v>1081</v>
      </c>
      <c r="C33" s="382" t="s">
        <v>1082</v>
      </c>
      <c r="D33" s="375" t="s">
        <v>1044</v>
      </c>
      <c r="E33" s="376">
        <v>38370</v>
      </c>
      <c r="F33" s="377" t="s">
        <v>1042</v>
      </c>
      <c r="G33" s="375">
        <v>2019</v>
      </c>
      <c r="H33" s="375">
        <v>2005</v>
      </c>
      <c r="I33" s="375">
        <f t="shared" si="0"/>
        <v>14</v>
      </c>
      <c r="J33" s="381"/>
    </row>
    <row r="34" spans="1:10" s="379" customFormat="1" ht="30.75" customHeight="1" x14ac:dyDescent="0.25">
      <c r="A34" s="373">
        <f t="shared" si="1"/>
        <v>28</v>
      </c>
      <c r="B34" s="382" t="s">
        <v>1083</v>
      </c>
      <c r="C34" s="382"/>
      <c r="D34" s="375"/>
      <c r="E34" s="376">
        <v>38010</v>
      </c>
      <c r="F34" s="377" t="s">
        <v>1042</v>
      </c>
      <c r="G34" s="375">
        <v>2019</v>
      </c>
      <c r="H34" s="375">
        <v>2004</v>
      </c>
      <c r="I34" s="375">
        <f t="shared" si="0"/>
        <v>15</v>
      </c>
      <c r="J34" s="381"/>
    </row>
    <row r="35" spans="1:10" s="379" customFormat="1" ht="30.75" customHeight="1" x14ac:dyDescent="0.25">
      <c r="A35" s="373">
        <f t="shared" si="1"/>
        <v>29</v>
      </c>
      <c r="B35" s="382" t="s">
        <v>1083</v>
      </c>
      <c r="C35" s="382"/>
      <c r="D35" s="375"/>
      <c r="E35" s="376">
        <v>38010</v>
      </c>
      <c r="F35" s="377" t="s">
        <v>1042</v>
      </c>
      <c r="G35" s="375">
        <v>2019</v>
      </c>
      <c r="H35" s="375">
        <v>2004</v>
      </c>
      <c r="I35" s="375">
        <f t="shared" si="0"/>
        <v>15</v>
      </c>
      <c r="J35" s="383"/>
    </row>
    <row r="36" spans="1:10" s="379" customFormat="1" ht="30.75" customHeight="1" x14ac:dyDescent="0.25">
      <c r="A36" s="373">
        <f t="shared" si="1"/>
        <v>30</v>
      </c>
      <c r="B36" s="382" t="s">
        <v>1083</v>
      </c>
      <c r="C36" s="382"/>
      <c r="D36" s="375"/>
      <c r="E36" s="376">
        <v>38010</v>
      </c>
      <c r="F36" s="377" t="s">
        <v>1042</v>
      </c>
      <c r="G36" s="375">
        <v>2019</v>
      </c>
      <c r="H36" s="375">
        <v>2004</v>
      </c>
      <c r="I36" s="375">
        <f t="shared" si="0"/>
        <v>15</v>
      </c>
      <c r="J36" s="381"/>
    </row>
    <row r="37" spans="1:10" s="379" customFormat="1" ht="30.75" customHeight="1" x14ac:dyDescent="0.25">
      <c r="A37" s="375"/>
      <c r="B37" s="384" t="s">
        <v>1084</v>
      </c>
      <c r="C37" s="382"/>
      <c r="D37" s="385"/>
      <c r="E37" s="375"/>
      <c r="F37" s="377"/>
      <c r="G37" s="377"/>
      <c r="H37" s="375"/>
      <c r="I37" s="385">
        <f>A36</f>
        <v>30</v>
      </c>
      <c r="J37" s="386"/>
    </row>
    <row r="38" spans="1:10" ht="49.5" customHeight="1" x14ac:dyDescent="0.2">
      <c r="A38" s="682" t="s">
        <v>1085</v>
      </c>
      <c r="B38" s="683"/>
      <c r="C38" s="683"/>
      <c r="D38" s="683"/>
      <c r="E38" s="683"/>
      <c r="F38" s="683"/>
      <c r="G38" s="683"/>
      <c r="H38" s="683"/>
      <c r="I38" s="684"/>
      <c r="J38" s="386"/>
    </row>
    <row r="39" spans="1:10" ht="12.75" x14ac:dyDescent="0.2">
      <c r="J39" s="381"/>
    </row>
    <row r="40" spans="1:10" ht="12.75" x14ac:dyDescent="0.2">
      <c r="J40" s="386"/>
    </row>
    <row r="41" spans="1:10" ht="12.75" x14ac:dyDescent="0.2">
      <c r="B41" s="5">
        <v>8</v>
      </c>
      <c r="C41" s="685" t="s">
        <v>262</v>
      </c>
      <c r="D41" s="686"/>
      <c r="E41" s="387" t="s">
        <v>1013</v>
      </c>
      <c r="F41" s="388"/>
      <c r="G41" s="388"/>
      <c r="H41" s="388"/>
      <c r="I41" s="389"/>
      <c r="J41" s="386"/>
    </row>
    <row r="42" spans="1:10" ht="12.75" x14ac:dyDescent="0.2">
      <c r="B42" s="388"/>
      <c r="C42" s="388" t="s">
        <v>1086</v>
      </c>
      <c r="D42" s="388"/>
      <c r="E42" s="390">
        <f>I37*1500/1000</f>
        <v>45</v>
      </c>
      <c r="F42" s="388"/>
      <c r="G42" s="388"/>
      <c r="H42" s="388"/>
      <c r="I42" s="389"/>
      <c r="J42" s="381"/>
    </row>
    <row r="43" spans="1:10" x14ac:dyDescent="0.2">
      <c r="B43" s="388"/>
      <c r="C43" s="388" t="s">
        <v>1087</v>
      </c>
      <c r="D43" s="388"/>
      <c r="E43" s="390">
        <f>E42*20%</f>
        <v>9</v>
      </c>
      <c r="F43" s="388"/>
      <c r="G43" s="388"/>
      <c r="H43" s="388"/>
      <c r="I43" s="388"/>
    </row>
    <row r="44" spans="1:10" x14ac:dyDescent="0.2">
      <c r="B44" s="388"/>
      <c r="C44" s="388" t="s">
        <v>250</v>
      </c>
      <c r="D44" s="388"/>
      <c r="E44" s="390">
        <f>E42+E43</f>
        <v>54</v>
      </c>
      <c r="F44" s="388"/>
      <c r="G44" s="388"/>
      <c r="H44" s="388"/>
      <c r="I44" s="388"/>
    </row>
    <row r="45" spans="1:10" x14ac:dyDescent="0.2">
      <c r="B45" s="388"/>
      <c r="C45" s="388"/>
      <c r="D45" s="388"/>
      <c r="E45" s="388"/>
      <c r="F45" s="388"/>
      <c r="G45" s="388"/>
      <c r="H45" s="388"/>
      <c r="I45" s="388"/>
    </row>
    <row r="46" spans="1:10" x14ac:dyDescent="0.2">
      <c r="B46" s="388"/>
      <c r="C46" s="388"/>
      <c r="D46" s="388"/>
      <c r="E46" s="388"/>
      <c r="F46" s="388"/>
      <c r="G46" s="388"/>
      <c r="H46" s="388"/>
      <c r="I46" s="388"/>
    </row>
    <row r="47" spans="1:10" x14ac:dyDescent="0.2">
      <c r="B47" s="388"/>
      <c r="C47" s="388"/>
      <c r="D47" s="388"/>
      <c r="E47" s="388"/>
      <c r="F47" s="388"/>
      <c r="G47" s="388"/>
      <c r="H47" s="388"/>
      <c r="I47" s="388"/>
    </row>
    <row r="49" spans="2:9" ht="26.25" customHeight="1" x14ac:dyDescent="0.2">
      <c r="B49" s="679" t="s">
        <v>1088</v>
      </c>
      <c r="C49" s="679"/>
      <c r="D49" s="679"/>
      <c r="E49" s="679"/>
      <c r="F49" s="679"/>
      <c r="G49" s="679"/>
      <c r="H49" s="679"/>
      <c r="I49" s="679"/>
    </row>
  </sheetData>
  <mergeCells count="6">
    <mergeCell ref="B49:I49"/>
    <mergeCell ref="A1:B1"/>
    <mergeCell ref="B3:F3"/>
    <mergeCell ref="B4:F4"/>
    <mergeCell ref="A38:I38"/>
    <mergeCell ref="C41:D41"/>
  </mergeCells>
  <pageMargins left="0.70000004768371604" right="0.70000004768371604" top="0.75" bottom="0.75" header="0.30000001192092901" footer="0.30000001192092901"/>
  <pageSetup paperSize="9" fitToWidth="0" fitToHeight="0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L122"/>
  <sheetViews>
    <sheetView workbookViewId="0"/>
  </sheetViews>
  <sheetFormatPr defaultColWidth="8.85546875" defaultRowHeight="15" x14ac:dyDescent="0.25"/>
  <cols>
    <col min="1" max="1" width="3.140625" style="391" customWidth="1"/>
    <col min="2" max="2" width="12.140625" style="392" customWidth="1"/>
    <col min="3" max="3" width="5.42578125" style="391" customWidth="1"/>
    <col min="4" max="4" width="8.140625" style="391" customWidth="1"/>
    <col min="5" max="5" width="11.140625" style="391" customWidth="1"/>
    <col min="6" max="7" width="9.85546875" style="391" customWidth="1"/>
    <col min="8" max="8" width="10.5703125" style="391" customWidth="1"/>
    <col min="9" max="10" width="9.85546875" style="391" customWidth="1"/>
    <col min="11" max="12" width="9.140625" style="391" customWidth="1"/>
    <col min="13" max="13" width="11.5703125" style="391" customWidth="1"/>
    <col min="14" max="14" width="11.140625" style="391" customWidth="1"/>
    <col min="15" max="15" width="9.140625" style="391" customWidth="1"/>
    <col min="16" max="16" width="9.7109375" style="391" customWidth="1"/>
    <col min="17" max="17" width="7" style="391" customWidth="1"/>
    <col min="18" max="18" width="8.140625" style="391" customWidth="1"/>
    <col min="19" max="19" width="9.5703125" style="391" customWidth="1"/>
    <col min="20" max="21" width="8" style="391" customWidth="1"/>
    <col min="22" max="22" width="8.85546875" style="391" customWidth="1"/>
    <col min="23" max="23" width="10.5703125" style="391" customWidth="1"/>
    <col min="24" max="24" width="8.85546875" bestFit="1" customWidth="1"/>
    <col min="25" max="25" width="56.85546875" style="379" customWidth="1"/>
    <col min="26" max="26" width="36.5703125" style="379" customWidth="1"/>
    <col min="27" max="27" width="56.85546875" style="379" customWidth="1"/>
    <col min="28" max="28" width="36.5703125" style="379" customWidth="1"/>
    <col min="29" max="29" width="56.85546875" style="379" customWidth="1"/>
    <col min="30" max="30" width="36.5703125" style="379" customWidth="1"/>
    <col min="31" max="31" width="56.85546875" style="379" customWidth="1"/>
    <col min="32" max="32" width="36.5703125" style="379" customWidth="1"/>
    <col min="33" max="33" width="54.140625" style="379" customWidth="1"/>
    <col min="34" max="36" width="38.85546875" style="379" customWidth="1"/>
    <col min="37" max="37" width="41.42578125" style="379" customWidth="1"/>
    <col min="38" max="38" width="39.42578125" style="379" customWidth="1"/>
    <col min="39" max="39" width="8.85546875" style="391" bestFit="1" customWidth="1"/>
    <col min="40" max="16384" width="8.85546875" style="391"/>
  </cols>
  <sheetData>
    <row r="1" spans="1:38" x14ac:dyDescent="0.25">
      <c r="A1" s="687" t="s">
        <v>1089</v>
      </c>
      <c r="B1" s="687"/>
      <c r="C1" s="687"/>
      <c r="D1" s="687"/>
      <c r="E1" s="687"/>
      <c r="F1" s="687"/>
      <c r="G1" s="687"/>
      <c r="H1" s="687"/>
      <c r="I1" s="687"/>
      <c r="J1" s="687"/>
      <c r="K1" s="687"/>
      <c r="L1" s="687"/>
      <c r="M1" s="687"/>
      <c r="N1" s="687"/>
      <c r="O1" s="687"/>
      <c r="P1" s="687"/>
      <c r="Q1" s="687"/>
      <c r="R1" s="687"/>
      <c r="S1" s="687"/>
      <c r="T1" s="687"/>
      <c r="U1" s="687"/>
      <c r="V1" s="687"/>
      <c r="W1" s="687"/>
      <c r="Y1" s="379" t="s">
        <v>1090</v>
      </c>
      <c r="AA1" s="379" t="s">
        <v>1090</v>
      </c>
      <c r="AC1" s="379" t="s">
        <v>1090</v>
      </c>
      <c r="AE1" s="379" t="s">
        <v>1090</v>
      </c>
      <c r="AG1" s="379" t="s">
        <v>1090</v>
      </c>
    </row>
    <row r="2" spans="1:38" x14ac:dyDescent="0.25">
      <c r="H2" s="688"/>
      <c r="I2" s="688"/>
      <c r="J2" s="688"/>
      <c r="K2" s="688"/>
      <c r="L2" s="393"/>
      <c r="M2" s="393"/>
      <c r="N2" s="688"/>
      <c r="O2" s="688"/>
      <c r="P2" s="688"/>
      <c r="Q2" s="688"/>
      <c r="R2" s="688"/>
      <c r="S2" s="688"/>
      <c r="T2" s="688"/>
      <c r="U2" s="688"/>
      <c r="V2" s="688"/>
      <c r="W2" s="688"/>
      <c r="Y2" s="379" t="s">
        <v>1091</v>
      </c>
      <c r="AA2" s="379" t="s">
        <v>1092</v>
      </c>
      <c r="AC2" s="379" t="s">
        <v>1093</v>
      </c>
      <c r="AE2" s="379" t="s">
        <v>1094</v>
      </c>
      <c r="AG2" s="379" t="s">
        <v>1095</v>
      </c>
    </row>
    <row r="3" spans="1:38" ht="14.65" customHeight="1" x14ac:dyDescent="0.25">
      <c r="A3" s="705" t="s">
        <v>559</v>
      </c>
      <c r="B3" s="705" t="s">
        <v>1096</v>
      </c>
      <c r="C3" s="707" t="s">
        <v>1097</v>
      </c>
      <c r="D3" s="709" t="s">
        <v>1098</v>
      </c>
      <c r="E3" s="711" t="s">
        <v>230</v>
      </c>
      <c r="F3" s="712"/>
      <c r="G3" s="712"/>
      <c r="H3" s="712"/>
      <c r="I3" s="712"/>
      <c r="J3" s="713"/>
      <c r="K3" s="689" t="s">
        <v>231</v>
      </c>
      <c r="L3" s="690"/>
      <c r="M3" s="691"/>
      <c r="N3" s="714" t="s">
        <v>232</v>
      </c>
      <c r="O3" s="715"/>
      <c r="P3" s="715"/>
      <c r="Q3" s="715"/>
      <c r="R3" s="715"/>
      <c r="S3" s="715"/>
      <c r="T3" s="715"/>
      <c r="U3" s="715"/>
      <c r="V3" s="716"/>
      <c r="W3" s="723" t="s">
        <v>1099</v>
      </c>
    </row>
    <row r="4" spans="1:38" s="398" customFormat="1" ht="72.75" customHeight="1" x14ac:dyDescent="0.25">
      <c r="A4" s="706"/>
      <c r="B4" s="706"/>
      <c r="C4" s="708"/>
      <c r="D4" s="710"/>
      <c r="E4" s="711" t="s">
        <v>725</v>
      </c>
      <c r="F4" s="712"/>
      <c r="G4" s="713"/>
      <c r="H4" s="717" t="s">
        <v>1100</v>
      </c>
      <c r="I4" s="718"/>
      <c r="J4" s="719"/>
      <c r="K4" s="720" t="s">
        <v>725</v>
      </c>
      <c r="L4" s="721"/>
      <c r="M4" s="722"/>
      <c r="N4" s="711" t="s">
        <v>725</v>
      </c>
      <c r="O4" s="712"/>
      <c r="P4" s="713"/>
      <c r="Q4" s="711" t="s">
        <v>1101</v>
      </c>
      <c r="R4" s="712"/>
      <c r="S4" s="713"/>
      <c r="T4" s="717" t="s">
        <v>1100</v>
      </c>
      <c r="U4" s="718"/>
      <c r="V4" s="719"/>
      <c r="W4" s="724"/>
      <c r="Y4" s="697" t="s">
        <v>1102</v>
      </c>
      <c r="Z4" s="698"/>
      <c r="AA4" s="697" t="s">
        <v>1102</v>
      </c>
      <c r="AB4" s="698"/>
      <c r="AC4" s="697" t="s">
        <v>1102</v>
      </c>
      <c r="AD4" s="698"/>
      <c r="AE4" s="697" t="s">
        <v>1102</v>
      </c>
      <c r="AF4" s="698"/>
      <c r="AG4" s="697" t="s">
        <v>1102</v>
      </c>
      <c r="AH4" s="699"/>
      <c r="AI4" s="699"/>
      <c r="AJ4" s="699"/>
      <c r="AK4" s="699"/>
      <c r="AL4" s="698"/>
    </row>
    <row r="5" spans="1:38" s="398" customFormat="1" ht="71.099999999999994" customHeight="1" x14ac:dyDescent="0.25">
      <c r="A5" s="399"/>
      <c r="B5" s="394"/>
      <c r="C5" s="395"/>
      <c r="D5" s="400"/>
      <c r="E5" s="401" t="s">
        <v>1103</v>
      </c>
      <c r="F5" s="401" t="s">
        <v>1104</v>
      </c>
      <c r="G5" s="401" t="s">
        <v>1105</v>
      </c>
      <c r="H5" s="401" t="s">
        <v>1103</v>
      </c>
      <c r="I5" s="401" t="s">
        <v>1104</v>
      </c>
      <c r="J5" s="401" t="s">
        <v>1105</v>
      </c>
      <c r="K5" s="401" t="s">
        <v>1103</v>
      </c>
      <c r="L5" s="401" t="s">
        <v>1104</v>
      </c>
      <c r="M5" s="401" t="s">
        <v>1105</v>
      </c>
      <c r="N5" s="401" t="s">
        <v>1103</v>
      </c>
      <c r="O5" s="401" t="s">
        <v>1104</v>
      </c>
      <c r="P5" s="401" t="s">
        <v>1105</v>
      </c>
      <c r="Q5" s="401" t="s">
        <v>1103</v>
      </c>
      <c r="R5" s="401" t="s">
        <v>1104</v>
      </c>
      <c r="S5" s="401" t="s">
        <v>1105</v>
      </c>
      <c r="T5" s="401" t="s">
        <v>1103</v>
      </c>
      <c r="U5" s="401" t="s">
        <v>1104</v>
      </c>
      <c r="V5" s="401" t="s">
        <v>1105</v>
      </c>
      <c r="W5" s="725"/>
      <c r="Y5" s="375"/>
      <c r="Z5" s="375"/>
      <c r="AA5" s="375"/>
      <c r="AB5" s="375"/>
      <c r="AC5" s="375"/>
      <c r="AD5" s="375"/>
      <c r="AE5" s="375"/>
      <c r="AF5" s="375"/>
      <c r="AG5" s="375"/>
      <c r="AH5" s="375"/>
      <c r="AI5" s="375"/>
      <c r="AJ5" s="375"/>
      <c r="AK5" s="375"/>
      <c r="AL5" s="375"/>
    </row>
    <row r="6" spans="1:38" s="398" customFormat="1" x14ac:dyDescent="0.25">
      <c r="A6" s="397">
        <v>1</v>
      </c>
      <c r="B6" s="396">
        <f>A6+1</f>
        <v>2</v>
      </c>
      <c r="C6" s="396">
        <f>B6+1</f>
        <v>3</v>
      </c>
      <c r="D6" s="396">
        <v>4</v>
      </c>
      <c r="E6" s="396">
        <v>5</v>
      </c>
      <c r="F6" s="396">
        <v>6</v>
      </c>
      <c r="G6" s="396">
        <v>7</v>
      </c>
      <c r="H6" s="396">
        <v>8</v>
      </c>
      <c r="I6" s="396">
        <v>9</v>
      </c>
      <c r="J6" s="396">
        <v>10</v>
      </c>
      <c r="K6" s="396">
        <v>11</v>
      </c>
      <c r="L6" s="396">
        <v>12</v>
      </c>
      <c r="M6" s="396">
        <v>13</v>
      </c>
      <c r="N6" s="396">
        <v>14</v>
      </c>
      <c r="O6" s="396">
        <v>15</v>
      </c>
      <c r="P6" s="396">
        <v>16</v>
      </c>
      <c r="Q6" s="396">
        <v>17</v>
      </c>
      <c r="R6" s="396">
        <v>18</v>
      </c>
      <c r="S6" s="396">
        <v>19</v>
      </c>
      <c r="T6" s="396">
        <v>17</v>
      </c>
      <c r="U6" s="396">
        <v>18</v>
      </c>
      <c r="V6" s="396">
        <v>19</v>
      </c>
      <c r="W6" s="396"/>
      <c r="Y6" s="402" t="s">
        <v>1106</v>
      </c>
      <c r="Z6" s="402">
        <v>209240</v>
      </c>
      <c r="AA6" s="402" t="s">
        <v>1106</v>
      </c>
      <c r="AB6" s="402">
        <v>208829</v>
      </c>
      <c r="AC6" s="402" t="s">
        <v>1106</v>
      </c>
      <c r="AD6" s="402" t="s">
        <v>1107</v>
      </c>
      <c r="AE6" s="402" t="s">
        <v>1106</v>
      </c>
      <c r="AF6" s="402" t="s">
        <v>1108</v>
      </c>
      <c r="AG6" s="375"/>
      <c r="AH6" s="697" t="s">
        <v>1109</v>
      </c>
      <c r="AI6" s="699"/>
      <c r="AJ6" s="698"/>
      <c r="AK6" s="726" t="s">
        <v>1110</v>
      </c>
      <c r="AL6" s="727"/>
    </row>
    <row r="7" spans="1:38" ht="27" customHeight="1" x14ac:dyDescent="0.25">
      <c r="A7" s="397">
        <v>1</v>
      </c>
      <c r="B7" s="403"/>
      <c r="C7" s="404">
        <f>R35</f>
        <v>12</v>
      </c>
      <c r="D7" s="405">
        <v>200</v>
      </c>
      <c r="E7" s="406">
        <f>E10/D7</f>
        <v>7.7149999999999999</v>
      </c>
      <c r="F7" s="407">
        <f>N42</f>
        <v>60</v>
      </c>
      <c r="G7" s="408">
        <f>14000*8*1.03</f>
        <v>115360</v>
      </c>
      <c r="H7" s="404">
        <v>1</v>
      </c>
      <c r="I7" s="404"/>
      <c r="J7" s="408">
        <f>H7*14000*1.03</f>
        <v>14420</v>
      </c>
      <c r="K7" s="409">
        <f>K10/D7</f>
        <v>2.5</v>
      </c>
      <c r="L7" s="408"/>
      <c r="M7" s="408">
        <f>14000*3*1.03</f>
        <v>43260</v>
      </c>
      <c r="N7" s="404"/>
      <c r="O7" s="405"/>
      <c r="P7" s="408"/>
      <c r="Q7" s="405"/>
      <c r="R7" s="408"/>
      <c r="S7" s="408"/>
      <c r="T7" s="408"/>
      <c r="U7" s="408"/>
      <c r="V7" s="408"/>
      <c r="W7" s="408"/>
      <c r="Y7" s="402" t="s">
        <v>1111</v>
      </c>
      <c r="Z7" s="402" t="s">
        <v>1112</v>
      </c>
      <c r="AA7" s="402" t="s">
        <v>1111</v>
      </c>
      <c r="AB7" s="402" t="s">
        <v>1113</v>
      </c>
      <c r="AC7" s="402" t="s">
        <v>1111</v>
      </c>
      <c r="AD7" s="402" t="s">
        <v>1114</v>
      </c>
      <c r="AE7" s="402" t="s">
        <v>1111</v>
      </c>
      <c r="AF7" s="402" t="s">
        <v>1114</v>
      </c>
      <c r="AG7" s="380" t="s">
        <v>1115</v>
      </c>
      <c r="AH7" s="375" t="s">
        <v>1116</v>
      </c>
      <c r="AI7" s="375" t="s">
        <v>1117</v>
      </c>
      <c r="AJ7" s="375" t="s">
        <v>1118</v>
      </c>
      <c r="AK7" s="375" t="s">
        <v>1119</v>
      </c>
      <c r="AL7" s="375" t="s">
        <v>1120</v>
      </c>
    </row>
    <row r="8" spans="1:38" ht="27" customHeight="1" x14ac:dyDescent="0.25">
      <c r="A8" s="397">
        <v>2</v>
      </c>
      <c r="B8" s="403"/>
      <c r="C8" s="404"/>
      <c r="D8" s="405"/>
      <c r="E8" s="410"/>
      <c r="F8" s="404"/>
      <c r="G8" s="408"/>
      <c r="H8" s="404"/>
      <c r="I8" s="404"/>
      <c r="J8" s="404"/>
      <c r="K8" s="408"/>
      <c r="L8" s="408"/>
      <c r="M8" s="408"/>
      <c r="N8" s="404"/>
      <c r="O8" s="404"/>
      <c r="P8" s="408"/>
      <c r="Q8" s="404"/>
      <c r="R8" s="408"/>
      <c r="S8" s="408"/>
      <c r="T8" s="408"/>
      <c r="U8" s="408"/>
      <c r="V8" s="408"/>
      <c r="W8" s="408"/>
      <c r="Y8" s="402" t="s">
        <v>1121</v>
      </c>
      <c r="Z8" s="402" t="s">
        <v>1122</v>
      </c>
      <c r="AA8" s="402" t="s">
        <v>1121</v>
      </c>
      <c r="AB8" s="402" t="s">
        <v>1123</v>
      </c>
      <c r="AC8" s="402" t="s">
        <v>1121</v>
      </c>
      <c r="AD8" s="402"/>
      <c r="AE8" s="402" t="s">
        <v>1121</v>
      </c>
      <c r="AF8" s="402"/>
      <c r="AG8" s="402" t="s">
        <v>1106</v>
      </c>
      <c r="AH8" s="402">
        <v>222824</v>
      </c>
      <c r="AI8" s="402">
        <v>222821</v>
      </c>
      <c r="AJ8" s="402">
        <v>222820</v>
      </c>
      <c r="AK8" s="402">
        <v>222819</v>
      </c>
      <c r="AL8" s="402">
        <v>222736</v>
      </c>
    </row>
    <row r="9" spans="1:38" ht="27" customHeight="1" x14ac:dyDescent="0.25">
      <c r="A9" s="397">
        <v>3</v>
      </c>
      <c r="B9" s="403"/>
      <c r="C9" s="404"/>
      <c r="D9" s="405"/>
      <c r="E9" s="404"/>
      <c r="F9" s="404"/>
      <c r="G9" s="408"/>
      <c r="H9" s="404"/>
      <c r="I9" s="404"/>
      <c r="J9" s="408"/>
      <c r="K9" s="408"/>
      <c r="L9" s="408"/>
      <c r="M9" s="408"/>
      <c r="N9" s="404"/>
      <c r="O9" s="404"/>
      <c r="P9" s="404"/>
      <c r="Q9" s="404"/>
      <c r="R9" s="404"/>
      <c r="S9" s="404"/>
      <c r="T9" s="404"/>
      <c r="U9" s="404"/>
      <c r="V9" s="404"/>
      <c r="W9" s="408"/>
      <c r="Y9" s="402" t="s">
        <v>1124</v>
      </c>
      <c r="Z9" s="402" t="s">
        <v>1125</v>
      </c>
      <c r="AA9" s="402" t="s">
        <v>1124</v>
      </c>
      <c r="AB9" s="402" t="s">
        <v>1126</v>
      </c>
      <c r="AC9" s="402" t="s">
        <v>1124</v>
      </c>
      <c r="AD9" s="402" t="s">
        <v>1127</v>
      </c>
      <c r="AE9" s="402" t="s">
        <v>1124</v>
      </c>
      <c r="AF9" s="402" t="s">
        <v>1127</v>
      </c>
      <c r="AG9" s="402" t="s">
        <v>1111</v>
      </c>
      <c r="AH9" s="402" t="s">
        <v>1128</v>
      </c>
      <c r="AI9" s="402" t="s">
        <v>1128</v>
      </c>
      <c r="AJ9" s="402" t="s">
        <v>1128</v>
      </c>
      <c r="AK9" s="402" t="s">
        <v>1128</v>
      </c>
      <c r="AL9" s="402" t="s">
        <v>1129</v>
      </c>
    </row>
    <row r="10" spans="1:38" ht="27" customHeight="1" x14ac:dyDescent="0.25">
      <c r="A10" s="397"/>
      <c r="B10" s="411" t="s">
        <v>1130</v>
      </c>
      <c r="C10" s="404"/>
      <c r="D10" s="405"/>
      <c r="E10" s="412">
        <f>G26</f>
        <v>1543</v>
      </c>
      <c r="F10" s="404"/>
      <c r="G10" s="408"/>
      <c r="H10" s="412">
        <f>I26</f>
        <v>20</v>
      </c>
      <c r="I10" s="404"/>
      <c r="J10" s="404"/>
      <c r="K10" s="413">
        <f>G27</f>
        <v>500</v>
      </c>
      <c r="L10" s="408"/>
      <c r="M10" s="408"/>
      <c r="N10" s="404"/>
      <c r="O10" s="404"/>
      <c r="P10" s="408"/>
      <c r="Q10" s="404"/>
      <c r="R10" s="408"/>
      <c r="S10" s="408"/>
      <c r="T10" s="408"/>
      <c r="U10" s="408"/>
      <c r="V10" s="408"/>
      <c r="W10" s="408"/>
      <c r="Y10" s="402" t="s">
        <v>1131</v>
      </c>
      <c r="Z10" s="402" t="s">
        <v>1032</v>
      </c>
      <c r="AA10" s="402" t="s">
        <v>1131</v>
      </c>
      <c r="AB10" s="402" t="s">
        <v>1032</v>
      </c>
      <c r="AC10" s="402" t="s">
        <v>1131</v>
      </c>
      <c r="AD10" s="402"/>
      <c r="AE10" s="402" t="s">
        <v>1131</v>
      </c>
      <c r="AF10" s="402" t="s">
        <v>1032</v>
      </c>
      <c r="AG10" s="402" t="s">
        <v>1121</v>
      </c>
      <c r="AH10" s="402" t="s">
        <v>1132</v>
      </c>
      <c r="AI10" s="402" t="s">
        <v>1132</v>
      </c>
      <c r="AJ10" s="402" t="s">
        <v>1132</v>
      </c>
      <c r="AK10" s="402" t="s">
        <v>1132</v>
      </c>
      <c r="AL10" s="402" t="s">
        <v>1133</v>
      </c>
    </row>
    <row r="11" spans="1:38" ht="29.65" customHeight="1" x14ac:dyDescent="0.25">
      <c r="A11" s="703"/>
      <c r="B11" s="704"/>
      <c r="C11" s="415"/>
      <c r="D11" s="415"/>
      <c r="E11" s="416"/>
      <c r="F11" s="414"/>
      <c r="G11" s="417">
        <f>G7</f>
        <v>115360</v>
      </c>
      <c r="H11" s="416"/>
      <c r="I11" s="418"/>
      <c r="J11" s="419">
        <f>J7</f>
        <v>14420</v>
      </c>
      <c r="K11" s="419"/>
      <c r="L11" s="419"/>
      <c r="M11" s="419">
        <f>M7</f>
        <v>43260</v>
      </c>
      <c r="N11" s="420"/>
      <c r="O11" s="418"/>
      <c r="P11" s="419"/>
      <c r="Q11" s="419"/>
      <c r="R11" s="418"/>
      <c r="S11" s="419"/>
      <c r="T11" s="419"/>
      <c r="U11" s="419"/>
      <c r="V11" s="419"/>
      <c r="W11" s="419">
        <f>G11+J11+M11+P11+S11+V11</f>
        <v>173040</v>
      </c>
      <c r="Y11" s="402" t="s">
        <v>1134</v>
      </c>
      <c r="Z11" s="402" t="s">
        <v>1135</v>
      </c>
      <c r="AA11" s="402" t="s">
        <v>1134</v>
      </c>
      <c r="AB11" s="402" t="s">
        <v>1136</v>
      </c>
      <c r="AC11" s="402" t="s">
        <v>1134</v>
      </c>
      <c r="AD11" s="402"/>
      <c r="AE11" s="402" t="s">
        <v>1134</v>
      </c>
      <c r="AF11" s="402" t="s">
        <v>1137</v>
      </c>
      <c r="AG11" s="402" t="s">
        <v>1124</v>
      </c>
      <c r="AH11" s="402" t="s">
        <v>1138</v>
      </c>
      <c r="AI11" s="402" t="s">
        <v>1139</v>
      </c>
      <c r="AJ11" s="402" t="s">
        <v>1140</v>
      </c>
      <c r="AK11" s="402" t="s">
        <v>1141</v>
      </c>
      <c r="AL11" s="402" t="s">
        <v>1142</v>
      </c>
    </row>
    <row r="12" spans="1:38" ht="22.5" customHeight="1" x14ac:dyDescent="0.25">
      <c r="B12" s="700" t="s">
        <v>1143</v>
      </c>
      <c r="C12" s="701"/>
      <c r="D12" s="701"/>
      <c r="E12" s="702"/>
      <c r="K12" s="421"/>
      <c r="L12" s="421"/>
      <c r="M12" s="421"/>
      <c r="W12" s="419">
        <f>W11/1000</f>
        <v>173.04</v>
      </c>
      <c r="Y12" s="402" t="s">
        <v>1144</v>
      </c>
      <c r="Z12" s="402" t="s">
        <v>1145</v>
      </c>
      <c r="AA12" s="402" t="s">
        <v>1144</v>
      </c>
      <c r="AB12" s="402"/>
      <c r="AC12" s="402" t="s">
        <v>1144</v>
      </c>
      <c r="AD12" s="402" t="s">
        <v>1146</v>
      </c>
      <c r="AE12" s="402" t="s">
        <v>1144</v>
      </c>
      <c r="AF12" s="402" t="s">
        <v>1146</v>
      </c>
      <c r="AG12" s="402" t="s">
        <v>1131</v>
      </c>
      <c r="AH12" s="402" t="s">
        <v>1032</v>
      </c>
      <c r="AI12" s="402" t="s">
        <v>1032</v>
      </c>
      <c r="AJ12" s="402" t="s">
        <v>1032</v>
      </c>
      <c r="AK12" s="402" t="s">
        <v>1032</v>
      </c>
      <c r="AL12" s="402" t="s">
        <v>1032</v>
      </c>
    </row>
    <row r="13" spans="1:38" ht="41.25" customHeight="1" x14ac:dyDescent="0.25">
      <c r="B13" s="692" t="s">
        <v>326</v>
      </c>
      <c r="C13" s="692"/>
      <c r="D13" s="692"/>
      <c r="E13" s="692"/>
      <c r="F13" s="692"/>
      <c r="G13" s="692"/>
      <c r="H13" s="692"/>
      <c r="I13" s="692"/>
      <c r="J13" s="692"/>
      <c r="K13" s="692"/>
      <c r="L13" s="692"/>
      <c r="M13" s="692"/>
      <c r="N13" s="692"/>
      <c r="O13" s="692"/>
      <c r="P13" s="692"/>
      <c r="Q13" s="692"/>
      <c r="R13" s="692"/>
      <c r="S13" s="692"/>
      <c r="T13" s="692"/>
      <c r="U13" s="692"/>
      <c r="V13" s="692"/>
      <c r="W13" s="692"/>
      <c r="Y13" s="402" t="s">
        <v>1147</v>
      </c>
      <c r="Z13" s="422">
        <v>92</v>
      </c>
      <c r="AA13" s="402" t="s">
        <v>1147</v>
      </c>
      <c r="AB13" s="422">
        <v>92</v>
      </c>
      <c r="AC13" s="402" t="s">
        <v>1147</v>
      </c>
      <c r="AD13" s="422"/>
      <c r="AE13" s="402" t="s">
        <v>1147</v>
      </c>
      <c r="AF13" s="422"/>
      <c r="AG13" s="402" t="s">
        <v>1134</v>
      </c>
      <c r="AH13" s="402" t="s">
        <v>1148</v>
      </c>
      <c r="AI13" s="402" t="s">
        <v>1149</v>
      </c>
      <c r="AJ13" s="402" t="s">
        <v>1148</v>
      </c>
      <c r="AK13" s="402" t="s">
        <v>1148</v>
      </c>
      <c r="AL13" s="402" t="s">
        <v>1150</v>
      </c>
    </row>
    <row r="14" spans="1:38" ht="16.5" customHeight="1" x14ac:dyDescent="0.25">
      <c r="K14" s="421"/>
      <c r="L14" s="421"/>
      <c r="M14" s="421"/>
      <c r="Y14" s="402" t="s">
        <v>1151</v>
      </c>
      <c r="Z14" s="402">
        <v>15</v>
      </c>
      <c r="AA14" s="402" t="s">
        <v>1151</v>
      </c>
      <c r="AB14" s="402">
        <v>15</v>
      </c>
      <c r="AC14" s="402" t="s">
        <v>1151</v>
      </c>
      <c r="AD14" s="402"/>
      <c r="AE14" s="402" t="s">
        <v>1151</v>
      </c>
      <c r="AF14" s="402"/>
      <c r="AG14" s="402" t="s">
        <v>1144</v>
      </c>
      <c r="AH14" s="402" t="s">
        <v>1152</v>
      </c>
      <c r="AI14" s="402" t="s">
        <v>1152</v>
      </c>
      <c r="AJ14" s="402" t="s">
        <v>1152</v>
      </c>
      <c r="AK14" s="402" t="s">
        <v>1152</v>
      </c>
      <c r="AL14" s="402" t="s">
        <v>1152</v>
      </c>
    </row>
    <row r="15" spans="1:38" ht="16.5" customHeight="1" x14ac:dyDescent="0.25">
      <c r="B15" s="693" t="s">
        <v>1153</v>
      </c>
      <c r="C15" s="693"/>
      <c r="D15" s="693"/>
      <c r="E15" s="693"/>
      <c r="F15" s="693"/>
      <c r="G15" s="693"/>
      <c r="H15" s="693"/>
      <c r="I15" s="693"/>
      <c r="J15" s="693"/>
      <c r="K15" s="693"/>
      <c r="L15" s="693"/>
      <c r="M15" s="693"/>
      <c r="N15" s="693"/>
      <c r="O15" s="693"/>
      <c r="P15" s="693"/>
      <c r="Q15" s="693"/>
      <c r="R15" s="693"/>
      <c r="S15" s="693"/>
      <c r="T15" s="693"/>
      <c r="U15" s="693"/>
      <c r="V15" s="693"/>
      <c r="W15" s="693"/>
      <c r="Y15" s="402"/>
      <c r="Z15" s="402"/>
      <c r="AA15" s="402"/>
      <c r="AB15" s="402"/>
      <c r="AC15" s="402"/>
      <c r="AD15" s="402"/>
      <c r="AE15" s="402"/>
      <c r="AF15" s="402"/>
      <c r="AG15" s="402"/>
      <c r="AH15" s="402"/>
      <c r="AI15" s="402"/>
      <c r="AJ15" s="402"/>
      <c r="AK15" s="402"/>
      <c r="AL15" s="402"/>
    </row>
    <row r="16" spans="1:38" ht="16.5" customHeight="1" x14ac:dyDescent="0.25">
      <c r="B16" s="692" t="s">
        <v>1154</v>
      </c>
      <c r="C16" s="692"/>
      <c r="D16" s="692"/>
      <c r="E16" s="692"/>
      <c r="F16" s="692"/>
      <c r="G16" s="692"/>
      <c r="H16" s="692"/>
      <c r="I16" s="692"/>
      <c r="J16" s="692"/>
      <c r="K16" s="692"/>
      <c r="L16" s="692"/>
      <c r="M16" s="692"/>
      <c r="N16" s="692"/>
      <c r="O16" s="692"/>
      <c r="P16" s="692"/>
      <c r="Q16" s="692"/>
      <c r="R16" s="692"/>
      <c r="S16" s="692"/>
      <c r="T16" s="692"/>
      <c r="U16" s="692"/>
      <c r="V16" s="692"/>
      <c r="W16" s="692"/>
      <c r="Y16" s="402" t="s">
        <v>1155</v>
      </c>
      <c r="Z16" s="402" t="s">
        <v>1156</v>
      </c>
      <c r="AA16" s="402" t="s">
        <v>1155</v>
      </c>
      <c r="AB16" s="402"/>
      <c r="AC16" s="402" t="s">
        <v>1157</v>
      </c>
      <c r="AD16" s="402">
        <v>3</v>
      </c>
      <c r="AE16" s="402" t="s">
        <v>1158</v>
      </c>
      <c r="AF16" s="402">
        <v>3</v>
      </c>
      <c r="AG16" s="402" t="s">
        <v>1159</v>
      </c>
      <c r="AH16" s="422">
        <v>108.8</v>
      </c>
      <c r="AI16" s="422">
        <v>108.8</v>
      </c>
      <c r="AJ16" s="422">
        <v>108.8</v>
      </c>
      <c r="AK16" s="422" t="s">
        <v>1160</v>
      </c>
      <c r="AL16" s="422">
        <v>237.2</v>
      </c>
    </row>
    <row r="17" spans="2:38" ht="16.5" customHeight="1" x14ac:dyDescent="0.25">
      <c r="K17" s="421"/>
      <c r="L17" s="421"/>
      <c r="M17" s="421"/>
      <c r="Y17" s="402" t="s">
        <v>1161</v>
      </c>
      <c r="Z17" s="402">
        <v>2</v>
      </c>
      <c r="AA17" s="402" t="s">
        <v>1161</v>
      </c>
      <c r="AB17" s="402"/>
      <c r="AC17" s="402" t="s">
        <v>1162</v>
      </c>
      <c r="AD17" s="402">
        <v>2</v>
      </c>
      <c r="AE17" s="402" t="s">
        <v>1163</v>
      </c>
      <c r="AF17" s="402">
        <v>2</v>
      </c>
      <c r="AG17" s="402" t="s">
        <v>1164</v>
      </c>
      <c r="AH17" s="422">
        <v>200</v>
      </c>
      <c r="AI17" s="422">
        <v>200</v>
      </c>
      <c r="AJ17" s="422">
        <v>200</v>
      </c>
      <c r="AK17" s="422"/>
      <c r="AL17" s="422">
        <v>212.7</v>
      </c>
    </row>
    <row r="18" spans="2:38" ht="16.5" customHeight="1" x14ac:dyDescent="0.25">
      <c r="B18" s="692" t="s">
        <v>1165</v>
      </c>
      <c r="C18" s="692"/>
      <c r="D18" s="692"/>
      <c r="E18" s="692"/>
      <c r="F18" s="692"/>
      <c r="G18" s="692"/>
      <c r="H18" s="692"/>
      <c r="I18" s="692"/>
      <c r="J18" s="692"/>
      <c r="K18" s="692"/>
      <c r="L18" s="692"/>
      <c r="M18" s="692"/>
      <c r="N18" s="692"/>
      <c r="O18" s="692"/>
      <c r="P18" s="692"/>
      <c r="Q18" s="692"/>
      <c r="R18" s="692"/>
      <c r="S18" s="692"/>
      <c r="T18" s="692"/>
      <c r="U18" s="692"/>
      <c r="V18" s="692"/>
      <c r="W18" s="692"/>
      <c r="Y18" s="697" t="s">
        <v>1166</v>
      </c>
      <c r="Z18" s="698"/>
      <c r="AA18" s="697" t="s">
        <v>1166</v>
      </c>
      <c r="AB18" s="698"/>
      <c r="AC18" s="697" t="s">
        <v>1166</v>
      </c>
      <c r="AD18" s="698"/>
      <c r="AE18" s="697" t="s">
        <v>1166</v>
      </c>
      <c r="AF18" s="698"/>
      <c r="AG18" s="402" t="s">
        <v>1151</v>
      </c>
      <c r="AH18" s="422">
        <v>200</v>
      </c>
      <c r="AI18" s="422">
        <v>200</v>
      </c>
      <c r="AJ18" s="422">
        <v>200</v>
      </c>
      <c r="AK18" s="422">
        <v>200</v>
      </c>
      <c r="AL18" s="422">
        <v>212.7</v>
      </c>
    </row>
    <row r="19" spans="2:38" ht="16.5" customHeight="1" x14ac:dyDescent="0.25">
      <c r="B19" s="692" t="s">
        <v>1167</v>
      </c>
      <c r="C19" s="692"/>
      <c r="D19" s="692"/>
      <c r="E19" s="692"/>
      <c r="F19" s="692"/>
      <c r="G19" s="692"/>
      <c r="H19" s="692"/>
      <c r="I19" s="692"/>
      <c r="J19" s="692"/>
      <c r="K19" s="692"/>
      <c r="L19" s="692"/>
      <c r="M19" s="692"/>
      <c r="N19" s="692"/>
      <c r="O19" s="692"/>
      <c r="P19" s="692"/>
      <c r="Q19" s="692"/>
      <c r="R19" s="692"/>
      <c r="S19" s="692"/>
      <c r="T19" s="692"/>
      <c r="U19" s="692"/>
      <c r="V19" s="692"/>
      <c r="W19" s="692"/>
      <c r="Y19" s="402" t="s">
        <v>1168</v>
      </c>
      <c r="Z19" s="402"/>
      <c r="AA19" s="402" t="s">
        <v>1168</v>
      </c>
      <c r="AB19" s="402"/>
      <c r="AC19" s="402" t="s">
        <v>1168</v>
      </c>
      <c r="AD19" s="402"/>
      <c r="AE19" s="402" t="s">
        <v>1168</v>
      </c>
      <c r="AF19" s="402"/>
      <c r="AG19" s="402" t="s">
        <v>1169</v>
      </c>
      <c r="AH19" s="694" t="s">
        <v>1170</v>
      </c>
      <c r="AI19" s="695"/>
      <c r="AJ19" s="695"/>
      <c r="AK19" s="695"/>
      <c r="AL19" s="696"/>
    </row>
    <row r="20" spans="2:38" ht="16.5" customHeight="1" x14ac:dyDescent="0.25">
      <c r="B20" s="692" t="s">
        <v>1171</v>
      </c>
      <c r="C20" s="692"/>
      <c r="D20" s="692"/>
      <c r="E20" s="692"/>
      <c r="F20" s="692"/>
      <c r="G20" s="692"/>
      <c r="H20" s="692"/>
      <c r="I20" s="692"/>
      <c r="J20" s="692"/>
      <c r="K20" s="692"/>
      <c r="L20" s="692"/>
      <c r="M20" s="692"/>
      <c r="N20" s="692"/>
      <c r="O20" s="692"/>
      <c r="P20" s="692"/>
      <c r="Q20" s="692"/>
      <c r="R20" s="692"/>
      <c r="S20" s="692"/>
      <c r="T20" s="692"/>
      <c r="U20" s="692"/>
      <c r="V20" s="692"/>
      <c r="W20" s="692"/>
      <c r="Y20" s="402" t="s">
        <v>1172</v>
      </c>
      <c r="Z20" s="422">
        <v>19</v>
      </c>
      <c r="AA20" s="402" t="s">
        <v>1173</v>
      </c>
      <c r="AB20" s="422">
        <v>21</v>
      </c>
      <c r="AC20" s="402" t="s">
        <v>1172</v>
      </c>
      <c r="AD20" s="422"/>
      <c r="AE20" s="402" t="s">
        <v>1172</v>
      </c>
      <c r="AF20" s="422"/>
      <c r="AG20" s="697" t="s">
        <v>1166</v>
      </c>
      <c r="AH20" s="699"/>
      <c r="AI20" s="699"/>
      <c r="AJ20" s="699"/>
      <c r="AK20" s="699"/>
      <c r="AL20" s="698"/>
    </row>
    <row r="21" spans="2:38" ht="16.5" customHeight="1" x14ac:dyDescent="0.25">
      <c r="K21" s="421"/>
      <c r="L21" s="421"/>
      <c r="M21" s="421"/>
      <c r="Y21" s="402" t="s">
        <v>1174</v>
      </c>
      <c r="Z21" s="422">
        <v>3.8</v>
      </c>
      <c r="AA21" s="402" t="s">
        <v>1175</v>
      </c>
      <c r="AB21" s="423">
        <v>3.98</v>
      </c>
      <c r="AC21" s="402" t="s">
        <v>1174</v>
      </c>
      <c r="AD21" s="422"/>
      <c r="AE21" s="402" t="s">
        <v>1174</v>
      </c>
      <c r="AF21" s="422"/>
      <c r="AG21" s="402" t="s">
        <v>1168</v>
      </c>
      <c r="AH21" s="402"/>
      <c r="AI21" s="402"/>
      <c r="AJ21" s="402"/>
      <c r="AK21" s="402"/>
      <c r="AL21" s="402"/>
    </row>
    <row r="22" spans="2:38" ht="16.5" customHeight="1" x14ac:dyDescent="0.25">
      <c r="B22" s="692" t="s">
        <v>1176</v>
      </c>
      <c r="C22" s="692"/>
      <c r="D22" s="692"/>
      <c r="E22" s="692"/>
      <c r="F22" s="692"/>
      <c r="G22" s="692"/>
      <c r="H22" s="692"/>
      <c r="I22" s="692"/>
      <c r="J22" s="692"/>
      <c r="K22" s="692"/>
      <c r="L22" s="692"/>
      <c r="M22" s="692"/>
      <c r="N22" s="692"/>
      <c r="O22" s="692"/>
      <c r="P22" s="692"/>
      <c r="Q22" s="692"/>
      <c r="R22" s="692"/>
      <c r="S22" s="692"/>
      <c r="T22" s="692"/>
      <c r="U22" s="692"/>
      <c r="V22" s="692"/>
      <c r="W22" s="692"/>
      <c r="Y22" s="402" t="s">
        <v>1177</v>
      </c>
      <c r="Z22" s="422">
        <v>2.15</v>
      </c>
      <c r="AA22" s="402" t="s">
        <v>1177</v>
      </c>
      <c r="AB22" s="423">
        <v>3.05</v>
      </c>
      <c r="AC22" s="402" t="s">
        <v>1177</v>
      </c>
      <c r="AD22" s="422">
        <v>1.6</v>
      </c>
      <c r="AE22" s="402" t="s">
        <v>1177</v>
      </c>
      <c r="AF22" s="422"/>
      <c r="AG22" s="402" t="s">
        <v>1172</v>
      </c>
      <c r="AH22" s="422">
        <v>35</v>
      </c>
      <c r="AI22" s="422">
        <v>35</v>
      </c>
      <c r="AJ22" s="422">
        <v>35</v>
      </c>
      <c r="AK22" s="422">
        <v>35</v>
      </c>
      <c r="AL22" s="422">
        <v>38</v>
      </c>
    </row>
    <row r="23" spans="2:38" ht="22.5" customHeight="1" x14ac:dyDescent="0.25">
      <c r="K23" s="421"/>
      <c r="L23" s="421"/>
      <c r="M23" s="421"/>
      <c r="Y23" s="402" t="s">
        <v>1178</v>
      </c>
      <c r="Z23" s="422"/>
      <c r="AA23" s="402" t="s">
        <v>1178</v>
      </c>
      <c r="AB23" s="422"/>
      <c r="AC23" s="402" t="s">
        <v>1178</v>
      </c>
      <c r="AD23" s="422"/>
      <c r="AE23" s="402" t="s">
        <v>1178</v>
      </c>
      <c r="AF23" s="422"/>
      <c r="AG23" s="402" t="s">
        <v>1174</v>
      </c>
      <c r="AH23" s="422">
        <v>7.5</v>
      </c>
      <c r="AI23" s="422">
        <v>7.5</v>
      </c>
      <c r="AJ23" s="422">
        <v>7.5</v>
      </c>
      <c r="AK23" s="422">
        <v>7.5</v>
      </c>
      <c r="AL23" s="422">
        <v>8.07</v>
      </c>
    </row>
    <row r="24" spans="2:38" ht="24.75" customHeight="1" x14ac:dyDescent="0.25">
      <c r="B24" s="728" t="s">
        <v>1179</v>
      </c>
      <c r="C24" s="728"/>
      <c r="D24" s="728"/>
      <c r="E24" s="728"/>
      <c r="F24" s="728"/>
      <c r="G24" s="728"/>
      <c r="H24" s="728"/>
      <c r="I24" s="728"/>
      <c r="J24" s="728"/>
      <c r="K24" s="728"/>
      <c r="L24" s="728"/>
      <c r="M24" s="728"/>
      <c r="N24" s="728"/>
      <c r="O24" s="728"/>
      <c r="P24" s="728"/>
      <c r="Q24" s="728"/>
      <c r="R24" s="728"/>
      <c r="S24" s="424"/>
      <c r="T24" s="424"/>
      <c r="U24" s="424"/>
      <c r="V24" s="424"/>
      <c r="Y24" s="402" t="s">
        <v>1180</v>
      </c>
      <c r="Z24" s="422">
        <v>21</v>
      </c>
      <c r="AA24" s="402" t="s">
        <v>1180</v>
      </c>
      <c r="AB24" s="422"/>
      <c r="AC24" s="402" t="s">
        <v>1180</v>
      </c>
      <c r="AD24" s="422">
        <v>17.3</v>
      </c>
      <c r="AE24" s="402" t="s">
        <v>1180</v>
      </c>
      <c r="AF24" s="422">
        <v>17.3</v>
      </c>
      <c r="AG24" s="402" t="s">
        <v>1177</v>
      </c>
      <c r="AH24" s="422">
        <v>1.3</v>
      </c>
      <c r="AI24" s="422">
        <v>1.3</v>
      </c>
      <c r="AJ24" s="422">
        <v>1.3</v>
      </c>
      <c r="AK24" s="422">
        <v>1.3</v>
      </c>
      <c r="AL24" s="422">
        <v>1.3</v>
      </c>
    </row>
    <row r="25" spans="2:38" ht="17.25" customHeight="1" x14ac:dyDescent="0.25">
      <c r="K25" s="421"/>
      <c r="L25" s="421"/>
      <c r="M25" s="421"/>
      <c r="Y25" s="402" t="s">
        <v>1181</v>
      </c>
      <c r="Z25" s="423">
        <v>3.98</v>
      </c>
      <c r="AA25" s="402" t="s">
        <v>1181</v>
      </c>
      <c r="AB25" s="423"/>
      <c r="AC25" s="402" t="s">
        <v>1181</v>
      </c>
      <c r="AD25" s="423">
        <v>3.78</v>
      </c>
      <c r="AE25" s="402" t="s">
        <v>1181</v>
      </c>
      <c r="AF25" s="423">
        <v>3.78</v>
      </c>
      <c r="AG25" s="402" t="s">
        <v>1178</v>
      </c>
      <c r="AH25" s="422"/>
      <c r="AI25" s="422"/>
      <c r="AJ25" s="422"/>
      <c r="AK25" s="422"/>
      <c r="AL25" s="422"/>
    </row>
    <row r="26" spans="2:38" ht="42.75" customHeight="1" x14ac:dyDescent="0.25">
      <c r="B26" s="86" t="s">
        <v>230</v>
      </c>
      <c r="C26" s="404"/>
      <c r="D26" s="403">
        <f>G26+I26</f>
        <v>1563</v>
      </c>
      <c r="E26" s="403"/>
      <c r="F26" s="192" t="s">
        <v>1182</v>
      </c>
      <c r="G26" s="404">
        <f>1447+96</f>
        <v>1543</v>
      </c>
      <c r="H26" s="194" t="s">
        <v>1183</v>
      </c>
      <c r="I26" s="404">
        <v>20</v>
      </c>
      <c r="J26" s="404"/>
      <c r="K26" s="404"/>
      <c r="M26" s="425"/>
      <c r="P26" s="426"/>
      <c r="Q26" s="426"/>
      <c r="Y26" s="402" t="s">
        <v>1184</v>
      </c>
      <c r="Z26" s="423">
        <v>3.05</v>
      </c>
      <c r="AA26" s="402" t="s">
        <v>1184</v>
      </c>
      <c r="AB26" s="423"/>
      <c r="AC26" s="402" t="s">
        <v>1185</v>
      </c>
      <c r="AD26" s="423">
        <v>0.87</v>
      </c>
      <c r="AE26" s="402" t="s">
        <v>1185</v>
      </c>
      <c r="AF26" s="423">
        <v>0.87</v>
      </c>
      <c r="AG26" s="402" t="s">
        <v>1180</v>
      </c>
      <c r="AH26" s="423">
        <v>35.53</v>
      </c>
      <c r="AI26" s="423">
        <v>35.53</v>
      </c>
      <c r="AJ26" s="423">
        <v>35.53</v>
      </c>
      <c r="AK26" s="423">
        <v>35.53</v>
      </c>
      <c r="AL26" s="422">
        <v>38.57</v>
      </c>
    </row>
    <row r="27" spans="2:38" ht="48.75" customHeight="1" x14ac:dyDescent="0.25">
      <c r="B27" s="86" t="s">
        <v>231</v>
      </c>
      <c r="C27" s="404"/>
      <c r="D27" s="404">
        <v>500</v>
      </c>
      <c r="E27" s="404"/>
      <c r="F27" s="192" t="s">
        <v>1182</v>
      </c>
      <c r="G27" s="404">
        <v>500</v>
      </c>
      <c r="H27" s="404"/>
      <c r="I27" s="404"/>
      <c r="J27" s="404"/>
      <c r="K27" s="404"/>
      <c r="M27" s="425"/>
      <c r="Y27" s="402" t="s">
        <v>1186</v>
      </c>
      <c r="Z27" s="402"/>
      <c r="AA27" s="402" t="s">
        <v>1186</v>
      </c>
      <c r="AB27" s="402"/>
      <c r="AC27" s="402" t="s">
        <v>1184</v>
      </c>
      <c r="AD27" s="423"/>
      <c r="AE27" s="402" t="s">
        <v>1177</v>
      </c>
      <c r="AF27" s="423">
        <v>1.6</v>
      </c>
      <c r="AG27" s="402" t="s">
        <v>1181</v>
      </c>
      <c r="AH27" s="423">
        <v>7.54</v>
      </c>
      <c r="AI27" s="423">
        <v>7.54</v>
      </c>
      <c r="AJ27" s="423">
        <v>7.54</v>
      </c>
      <c r="AK27" s="423">
        <v>7.54</v>
      </c>
      <c r="AL27" s="423">
        <v>8.3000000000000007</v>
      </c>
    </row>
    <row r="28" spans="2:38" ht="42.75" customHeight="1" x14ac:dyDescent="0.25">
      <c r="B28" s="90" t="s">
        <v>232</v>
      </c>
      <c r="C28" s="404"/>
      <c r="D28" s="404">
        <f>'[11]Раздел 2'!G11</f>
        <v>600</v>
      </c>
      <c r="E28" s="404"/>
      <c r="F28" s="192" t="s">
        <v>1182</v>
      </c>
      <c r="G28" s="404">
        <v>200</v>
      </c>
      <c r="H28" s="427" t="s">
        <v>1101</v>
      </c>
      <c r="I28" s="404">
        <v>200</v>
      </c>
      <c r="J28" s="194" t="s">
        <v>1183</v>
      </c>
      <c r="K28" s="404">
        <v>200</v>
      </c>
      <c r="L28" s="425"/>
      <c r="M28" s="425"/>
      <c r="P28" s="428"/>
      <c r="Q28" s="428"/>
      <c r="Y28" s="402" t="s">
        <v>1187</v>
      </c>
      <c r="Z28" s="402" t="s">
        <v>698</v>
      </c>
      <c r="AA28" s="402" t="s">
        <v>1187</v>
      </c>
      <c r="AB28" s="402"/>
      <c r="AC28" s="402" t="s">
        <v>1186</v>
      </c>
      <c r="AD28" s="402"/>
      <c r="AE28" s="402" t="s">
        <v>1186</v>
      </c>
      <c r="AF28" s="402"/>
      <c r="AG28" s="402" t="s">
        <v>1184</v>
      </c>
      <c r="AH28" s="423">
        <v>8.1</v>
      </c>
      <c r="AI28" s="423">
        <v>8.1</v>
      </c>
      <c r="AJ28" s="423">
        <v>8.1</v>
      </c>
      <c r="AK28" s="423">
        <v>8.1</v>
      </c>
      <c r="AL28" s="423">
        <v>6.2</v>
      </c>
    </row>
    <row r="29" spans="2:38" x14ac:dyDescent="0.25">
      <c r="Y29" s="380" t="s">
        <v>1188</v>
      </c>
      <c r="Z29" s="382">
        <v>0.91</v>
      </c>
      <c r="AA29" s="380" t="s">
        <v>1188</v>
      </c>
      <c r="AB29" s="382">
        <v>0.83</v>
      </c>
      <c r="AC29" s="402" t="s">
        <v>1187</v>
      </c>
      <c r="AD29" s="402"/>
      <c r="AE29" s="402" t="s">
        <v>1187</v>
      </c>
      <c r="AF29" s="402"/>
      <c r="AG29" s="402" t="s">
        <v>1186</v>
      </c>
      <c r="AH29" s="402"/>
      <c r="AI29" s="402"/>
      <c r="AJ29" s="402"/>
      <c r="AK29" s="402"/>
      <c r="AL29" s="402"/>
    </row>
    <row r="30" spans="2:38" ht="12.75" customHeight="1" x14ac:dyDescent="0.25">
      <c r="B30" s="429" t="s">
        <v>1189</v>
      </c>
      <c r="C30" s="430" t="s">
        <v>1190</v>
      </c>
      <c r="D30" s="431"/>
      <c r="E30" s="431"/>
      <c r="F30" s="431"/>
      <c r="G30" s="431"/>
      <c r="H30" s="431"/>
      <c r="K30" s="431" t="s">
        <v>1191</v>
      </c>
      <c r="L30" s="431"/>
      <c r="M30" s="431"/>
      <c r="N30" s="431"/>
      <c r="O30" s="431"/>
      <c r="P30" s="431"/>
      <c r="Q30" s="431"/>
      <c r="R30" s="431"/>
      <c r="S30" s="431"/>
      <c r="T30" s="431"/>
      <c r="U30" s="431"/>
      <c r="V30" s="431"/>
      <c r="Y30" s="380" t="s">
        <v>1192</v>
      </c>
      <c r="Z30" s="382">
        <v>0.91</v>
      </c>
      <c r="AA30" s="380" t="s">
        <v>1192</v>
      </c>
      <c r="AB30" s="382"/>
      <c r="AC30" s="380" t="s">
        <v>1188</v>
      </c>
      <c r="AD30" s="382"/>
      <c r="AE30" s="380" t="s">
        <v>1188</v>
      </c>
      <c r="AF30" s="382"/>
      <c r="AG30" s="380" t="s">
        <v>1192</v>
      </c>
      <c r="AH30" s="432">
        <v>0.22</v>
      </c>
      <c r="AI30" s="432">
        <v>0.22</v>
      </c>
      <c r="AJ30" s="432">
        <v>0.22</v>
      </c>
      <c r="AK30" s="432">
        <v>0.22</v>
      </c>
      <c r="AL30" s="432">
        <v>0.28000000000000003</v>
      </c>
    </row>
    <row r="31" spans="2:38" ht="12.75" customHeight="1" x14ac:dyDescent="0.25">
      <c r="B31" s="430"/>
      <c r="C31" s="430"/>
      <c r="D31" s="431"/>
      <c r="E31" s="431"/>
      <c r="F31" s="431"/>
      <c r="G31" s="431"/>
      <c r="H31" s="431"/>
      <c r="K31" s="431"/>
      <c r="L31" s="431"/>
      <c r="M31" s="431"/>
      <c r="N31" s="431"/>
      <c r="O31" s="431"/>
      <c r="P31" s="431"/>
      <c r="Q31" s="431"/>
      <c r="R31" s="431"/>
      <c r="S31" s="431"/>
      <c r="T31" s="431"/>
      <c r="U31" s="431"/>
      <c r="V31" s="431"/>
      <c r="Y31" s="380" t="s">
        <v>1193</v>
      </c>
      <c r="Z31" s="380" t="s">
        <v>698</v>
      </c>
      <c r="AA31" s="380" t="s">
        <v>1193</v>
      </c>
      <c r="AB31" s="380"/>
      <c r="AC31" s="380" t="s">
        <v>1192</v>
      </c>
      <c r="AD31" s="382"/>
      <c r="AE31" s="380" t="s">
        <v>1192</v>
      </c>
      <c r="AF31" s="382"/>
      <c r="AG31" s="380" t="s">
        <v>1193</v>
      </c>
      <c r="AH31" s="432">
        <v>0.22</v>
      </c>
      <c r="AI31" s="432">
        <v>0.22</v>
      </c>
      <c r="AJ31" s="432">
        <v>0.22</v>
      </c>
      <c r="AK31" s="432">
        <v>0.22</v>
      </c>
      <c r="AL31" s="432"/>
    </row>
    <row r="32" spans="2:38" ht="12.75" customHeight="1" x14ac:dyDescent="0.25">
      <c r="B32" s="430"/>
      <c r="C32" s="430"/>
      <c r="D32" s="431"/>
      <c r="E32" s="431"/>
      <c r="F32" s="431"/>
      <c r="G32" s="431"/>
      <c r="H32" s="431"/>
      <c r="K32" s="729" t="s">
        <v>921</v>
      </c>
      <c r="L32" s="729"/>
      <c r="M32" s="729"/>
      <c r="N32" s="729"/>
      <c r="O32" s="729"/>
      <c r="P32" s="433"/>
      <c r="Q32" s="433"/>
      <c r="R32" s="431">
        <v>4</v>
      </c>
      <c r="S32" s="431"/>
      <c r="T32" s="431"/>
      <c r="U32" s="431"/>
      <c r="V32" s="431"/>
      <c r="Y32" s="697" t="s">
        <v>1194</v>
      </c>
      <c r="Z32" s="698"/>
      <c r="AA32" s="697" t="s">
        <v>1194</v>
      </c>
      <c r="AB32" s="698"/>
      <c r="AC32" s="380" t="s">
        <v>1193</v>
      </c>
      <c r="AD32" s="380"/>
      <c r="AE32" s="380" t="s">
        <v>1193</v>
      </c>
      <c r="AF32" s="380"/>
      <c r="AG32" s="697" t="s">
        <v>1195</v>
      </c>
      <c r="AH32" s="699"/>
      <c r="AI32" s="699"/>
      <c r="AJ32" s="699"/>
      <c r="AK32" s="699"/>
      <c r="AL32" s="698"/>
    </row>
    <row r="33" spans="2:38" ht="12.75" customHeight="1" x14ac:dyDescent="0.25">
      <c r="B33" s="430" t="s">
        <v>1196</v>
      </c>
      <c r="C33" s="430" t="s">
        <v>1182</v>
      </c>
      <c r="D33" s="431"/>
      <c r="E33" s="431"/>
      <c r="F33" s="431"/>
      <c r="G33" s="431"/>
      <c r="H33" s="431"/>
      <c r="K33" s="730" t="s">
        <v>929</v>
      </c>
      <c r="L33" s="730"/>
      <c r="M33" s="730"/>
      <c r="N33" s="730"/>
      <c r="O33" s="730"/>
      <c r="P33" s="434"/>
      <c r="Q33" s="434"/>
      <c r="R33" s="431">
        <v>4</v>
      </c>
      <c r="S33" s="431"/>
      <c r="T33" s="431"/>
      <c r="U33" s="431"/>
      <c r="V33" s="431"/>
      <c r="Y33" s="402" t="s">
        <v>1197</v>
      </c>
      <c r="Z33" s="402">
        <v>1</v>
      </c>
      <c r="AA33" s="402" t="s">
        <v>1197</v>
      </c>
      <c r="AB33" s="402"/>
      <c r="AC33" s="697" t="s">
        <v>1194</v>
      </c>
      <c r="AD33" s="698"/>
      <c r="AE33" s="697" t="s">
        <v>1194</v>
      </c>
      <c r="AF33" s="698"/>
      <c r="AG33" s="380" t="s">
        <v>1198</v>
      </c>
      <c r="AH33" s="382"/>
      <c r="AI33" s="382"/>
      <c r="AJ33" s="382"/>
      <c r="AK33" s="382"/>
      <c r="AL33" s="382"/>
    </row>
    <row r="34" spans="2:38" ht="12.75" customHeight="1" x14ac:dyDescent="0.25">
      <c r="B34" s="430"/>
      <c r="C34" s="430"/>
      <c r="D34" s="431"/>
      <c r="E34" s="431"/>
      <c r="F34" s="431"/>
      <c r="G34" s="431"/>
      <c r="H34" s="431"/>
      <c r="K34" s="729" t="s">
        <v>957</v>
      </c>
      <c r="L34" s="729"/>
      <c r="M34" s="729"/>
      <c r="N34" s="729"/>
      <c r="O34" s="729"/>
      <c r="P34" s="433"/>
      <c r="Q34" s="433"/>
      <c r="R34" s="431">
        <v>4</v>
      </c>
      <c r="S34" s="431"/>
      <c r="T34" s="431"/>
      <c r="U34" s="431"/>
      <c r="V34" s="431"/>
      <c r="Y34" s="735" t="s">
        <v>1199</v>
      </c>
      <c r="Z34" s="736"/>
      <c r="AA34" s="735" t="s">
        <v>1199</v>
      </c>
      <c r="AB34" s="736"/>
      <c r="AC34" s="402" t="s">
        <v>1197</v>
      </c>
      <c r="AD34" s="402"/>
      <c r="AE34" s="402" t="s">
        <v>1197</v>
      </c>
      <c r="AF34" s="402"/>
      <c r="AG34" s="380" t="s">
        <v>1200</v>
      </c>
      <c r="AH34" s="382">
        <v>1</v>
      </c>
      <c r="AI34" s="382">
        <v>1</v>
      </c>
      <c r="AJ34" s="382">
        <v>1</v>
      </c>
      <c r="AK34" s="382">
        <v>1</v>
      </c>
      <c r="AL34" s="374" t="s">
        <v>1201</v>
      </c>
    </row>
    <row r="35" spans="2:38" ht="12.75" customHeight="1" x14ac:dyDescent="0.25">
      <c r="B35" s="430"/>
      <c r="C35" s="430"/>
      <c r="D35" s="431"/>
      <c r="E35" s="431"/>
      <c r="F35" s="431"/>
      <c r="G35" s="431"/>
      <c r="H35" s="431"/>
      <c r="K35" s="431" t="s">
        <v>1202</v>
      </c>
      <c r="L35" s="431"/>
      <c r="M35" s="431"/>
      <c r="N35" s="431"/>
      <c r="O35" s="431"/>
      <c r="P35" s="431"/>
      <c r="Q35" s="431"/>
      <c r="R35" s="435">
        <f>R32+R33+R34</f>
        <v>12</v>
      </c>
      <c r="S35" s="431"/>
      <c r="T35" s="431"/>
      <c r="U35" s="431"/>
      <c r="V35" s="431"/>
      <c r="Y35" s="402" t="s">
        <v>1203</v>
      </c>
      <c r="Z35" s="436" t="s">
        <v>1204</v>
      </c>
      <c r="AA35" s="402" t="s">
        <v>1203</v>
      </c>
      <c r="AB35" s="436" t="s">
        <v>1204</v>
      </c>
      <c r="AC35" s="726" t="s">
        <v>1199</v>
      </c>
      <c r="AD35" s="727"/>
      <c r="AE35" s="726" t="s">
        <v>1199</v>
      </c>
      <c r="AF35" s="727"/>
      <c r="AG35" s="697" t="s">
        <v>1205</v>
      </c>
      <c r="AH35" s="698"/>
      <c r="AI35" s="380"/>
      <c r="AJ35" s="380"/>
      <c r="AK35" s="380"/>
      <c r="AL35" s="380"/>
    </row>
    <row r="36" spans="2:38" ht="12.75" customHeight="1" x14ac:dyDescent="0.25">
      <c r="B36" s="430" t="s">
        <v>1206</v>
      </c>
      <c r="C36" s="430" t="s">
        <v>1207</v>
      </c>
      <c r="D36" s="431"/>
      <c r="E36" s="431"/>
      <c r="F36" s="431"/>
      <c r="G36" s="431"/>
      <c r="H36" s="431"/>
      <c r="K36" s="431" t="s">
        <v>1208</v>
      </c>
      <c r="L36" s="431"/>
      <c r="M36" s="431"/>
      <c r="N36" s="431"/>
      <c r="O36" s="431"/>
      <c r="P36" s="431"/>
      <c r="Q36" s="431"/>
      <c r="R36" s="431">
        <v>4</v>
      </c>
      <c r="S36" s="431"/>
      <c r="T36" s="431"/>
      <c r="U36" s="431"/>
      <c r="V36" s="431"/>
      <c r="Y36" s="402" t="s">
        <v>1209</v>
      </c>
      <c r="Z36" s="437" t="s">
        <v>1210</v>
      </c>
      <c r="AA36" s="402" t="s">
        <v>1209</v>
      </c>
      <c r="AB36" s="437" t="s">
        <v>1210</v>
      </c>
      <c r="AC36" s="402" t="s">
        <v>1203</v>
      </c>
      <c r="AD36" s="380" t="s">
        <v>1211</v>
      </c>
      <c r="AE36" s="402" t="s">
        <v>1203</v>
      </c>
      <c r="AF36" s="380" t="s">
        <v>1211</v>
      </c>
      <c r="AG36" s="375"/>
      <c r="AH36" s="375" t="s">
        <v>1212</v>
      </c>
      <c r="AI36" s="375" t="s">
        <v>1212</v>
      </c>
      <c r="AJ36" s="375" t="s">
        <v>1212</v>
      </c>
      <c r="AK36" s="380"/>
      <c r="AL36" s="375" t="s">
        <v>1213</v>
      </c>
    </row>
    <row r="37" spans="2:38" ht="12.75" customHeight="1" x14ac:dyDescent="0.25">
      <c r="B37" s="430"/>
      <c r="C37" s="430"/>
      <c r="D37" s="431"/>
      <c r="E37" s="431"/>
      <c r="F37" s="431"/>
      <c r="G37" s="431"/>
      <c r="H37" s="431"/>
      <c r="K37" s="731" t="s">
        <v>1214</v>
      </c>
      <c r="L37" s="731"/>
      <c r="M37" s="731"/>
      <c r="N37" s="731"/>
      <c r="O37" s="431"/>
      <c r="P37" s="431"/>
      <c r="Q37" s="431"/>
      <c r="R37" s="431">
        <f>R35/R36</f>
        <v>3</v>
      </c>
      <c r="S37" s="431"/>
      <c r="T37" s="431"/>
      <c r="U37" s="431"/>
      <c r="V37" s="431"/>
      <c r="Y37" s="402" t="s">
        <v>1215</v>
      </c>
      <c r="Z37" s="402">
        <v>1</v>
      </c>
      <c r="AA37" s="402" t="s">
        <v>1215</v>
      </c>
      <c r="AB37" s="437">
        <v>1</v>
      </c>
      <c r="AC37" s="402" t="s">
        <v>1209</v>
      </c>
      <c r="AD37" s="402"/>
      <c r="AE37" s="402" t="s">
        <v>1209</v>
      </c>
      <c r="AF37" s="402"/>
      <c r="AG37" s="380" t="s">
        <v>1216</v>
      </c>
      <c r="AH37" s="382" t="s">
        <v>1217</v>
      </c>
      <c r="AI37" s="382" t="s">
        <v>1217</v>
      </c>
      <c r="AJ37" s="382" t="s">
        <v>1217</v>
      </c>
      <c r="AK37" s="380"/>
      <c r="AL37" s="382" t="s">
        <v>1218</v>
      </c>
    </row>
    <row r="38" spans="2:38" ht="12.75" customHeight="1" x14ac:dyDescent="0.25">
      <c r="B38" s="430" t="s">
        <v>1219</v>
      </c>
      <c r="C38" s="430" t="s">
        <v>1183</v>
      </c>
      <c r="D38" s="431"/>
      <c r="E38" s="431"/>
      <c r="F38" s="431"/>
      <c r="G38" s="431"/>
      <c r="H38" s="431"/>
      <c r="K38" s="431"/>
      <c r="L38" s="431"/>
      <c r="M38" s="431"/>
      <c r="N38" s="431"/>
      <c r="O38" s="431"/>
      <c r="P38" s="431"/>
      <c r="Q38" s="431"/>
      <c r="R38" s="431"/>
      <c r="S38" s="431"/>
      <c r="T38" s="431"/>
      <c r="U38" s="431"/>
      <c r="V38" s="431"/>
      <c r="Y38" s="402" t="s">
        <v>1220</v>
      </c>
      <c r="Z38" s="437">
        <v>220.5</v>
      </c>
      <c r="AA38" s="402" t="s">
        <v>1220</v>
      </c>
      <c r="AB38" s="437">
        <v>220.5</v>
      </c>
      <c r="AC38" s="402" t="s">
        <v>1215</v>
      </c>
      <c r="AD38" s="402">
        <v>1</v>
      </c>
      <c r="AE38" s="402" t="s">
        <v>1215</v>
      </c>
      <c r="AF38" s="402">
        <v>1</v>
      </c>
      <c r="AG38" s="380" t="s">
        <v>1221</v>
      </c>
      <c r="AH38" s="382" t="s">
        <v>1222</v>
      </c>
      <c r="AI38" s="382" t="s">
        <v>1222</v>
      </c>
      <c r="AJ38" s="382" t="s">
        <v>1222</v>
      </c>
      <c r="AK38" s="380"/>
      <c r="AL38" s="382" t="s">
        <v>1223</v>
      </c>
    </row>
    <row r="39" spans="2:38" ht="36.75" x14ac:dyDescent="0.25">
      <c r="B39" s="392" t="s">
        <v>1224</v>
      </c>
      <c r="C39" s="391">
        <f>7.35*1.4</f>
        <v>10.29</v>
      </c>
      <c r="D39" s="391" t="s">
        <v>1225</v>
      </c>
      <c r="E39" s="391" t="s">
        <v>1226</v>
      </c>
      <c r="Y39" s="402" t="s">
        <v>1227</v>
      </c>
      <c r="Z39" s="402">
        <v>1500</v>
      </c>
      <c r="AA39" s="402" t="s">
        <v>1227</v>
      </c>
      <c r="AB39" s="437">
        <v>1500</v>
      </c>
      <c r="AC39" s="402" t="s">
        <v>1220</v>
      </c>
      <c r="AD39" s="402">
        <v>220.5</v>
      </c>
      <c r="AE39" s="402" t="s">
        <v>1220</v>
      </c>
      <c r="AF39" s="402">
        <v>220.5</v>
      </c>
      <c r="AG39" s="380" t="s">
        <v>1228</v>
      </c>
      <c r="AH39" s="382" t="s">
        <v>1229</v>
      </c>
      <c r="AI39" s="382" t="s">
        <v>1229</v>
      </c>
      <c r="AJ39" s="382" t="s">
        <v>1229</v>
      </c>
      <c r="AK39" s="380"/>
      <c r="AL39" s="382">
        <v>250</v>
      </c>
    </row>
    <row r="40" spans="2:38" ht="42.75" customHeight="1" x14ac:dyDescent="0.25">
      <c r="I40" s="705" t="s">
        <v>1230</v>
      </c>
      <c r="J40" s="732"/>
      <c r="K40" s="733"/>
      <c r="L40" s="394" t="s">
        <v>1231</v>
      </c>
      <c r="M40" s="394" t="s">
        <v>1232</v>
      </c>
      <c r="N40" s="394" t="s">
        <v>1233</v>
      </c>
      <c r="Y40" s="402" t="s">
        <v>1234</v>
      </c>
      <c r="Z40" s="402" t="s">
        <v>1235</v>
      </c>
      <c r="AA40" s="402" t="s">
        <v>1234</v>
      </c>
      <c r="AB40" s="437" t="s">
        <v>1235</v>
      </c>
      <c r="AC40" s="402" t="s">
        <v>1227</v>
      </c>
      <c r="AD40" s="402"/>
      <c r="AE40" s="402" t="s">
        <v>1227</v>
      </c>
      <c r="AF40" s="402"/>
      <c r="AG40" s="380" t="s">
        <v>1236</v>
      </c>
      <c r="AH40" s="382" t="s">
        <v>1229</v>
      </c>
      <c r="AI40" s="382" t="s">
        <v>1229</v>
      </c>
      <c r="AJ40" s="382" t="s">
        <v>1229</v>
      </c>
      <c r="AK40" s="380"/>
      <c r="AL40" s="382">
        <v>100</v>
      </c>
    </row>
    <row r="41" spans="2:38" ht="42.75" customHeight="1" x14ac:dyDescent="0.25">
      <c r="B41" s="392">
        <f>680*2</f>
        <v>1360</v>
      </c>
      <c r="D41" s="391" t="s">
        <v>1237</v>
      </c>
      <c r="G41" s="391" t="s">
        <v>1238</v>
      </c>
      <c r="I41" s="410">
        <f>B41/C39/24</f>
        <v>5.50696469063816</v>
      </c>
      <c r="J41" s="410"/>
      <c r="K41" s="404">
        <v>6</v>
      </c>
      <c r="L41" s="404">
        <v>6</v>
      </c>
      <c r="M41" s="404">
        <v>6</v>
      </c>
      <c r="N41" s="404">
        <f>K41+L41+M41</f>
        <v>18</v>
      </c>
      <c r="Y41" s="402" t="s">
        <v>1239</v>
      </c>
      <c r="Z41" s="402" t="s">
        <v>1240</v>
      </c>
      <c r="AA41" s="402" t="s">
        <v>1239</v>
      </c>
      <c r="AB41" s="402" t="s">
        <v>1241</v>
      </c>
      <c r="AC41" s="402" t="s">
        <v>1234</v>
      </c>
      <c r="AD41" s="402"/>
      <c r="AE41" s="402" t="s">
        <v>1234</v>
      </c>
      <c r="AF41" s="402"/>
      <c r="AG41" s="380" t="s">
        <v>1242</v>
      </c>
      <c r="AH41" s="382" t="s">
        <v>1243</v>
      </c>
      <c r="AI41" s="382" t="s">
        <v>1243</v>
      </c>
      <c r="AJ41" s="382" t="s">
        <v>1243</v>
      </c>
      <c r="AK41" s="380"/>
      <c r="AL41" s="382">
        <v>16</v>
      </c>
    </row>
    <row r="42" spans="2:38" ht="42.75" customHeight="1" x14ac:dyDescent="0.25">
      <c r="B42" s="392">
        <f>430*8*2</f>
        <v>6880</v>
      </c>
      <c r="D42" s="438" t="s">
        <v>1244</v>
      </c>
      <c r="I42" s="410">
        <f>B42/C39/24</f>
        <v>27.858762552640105</v>
      </c>
      <c r="J42" s="410"/>
      <c r="K42" s="439">
        <v>28</v>
      </c>
      <c r="L42" s="404">
        <f>2*8</f>
        <v>16</v>
      </c>
      <c r="M42" s="404">
        <f>8*2</f>
        <v>16</v>
      </c>
      <c r="N42" s="404">
        <f>K42+L42+M42</f>
        <v>60</v>
      </c>
      <c r="Y42" s="402" t="s">
        <v>1245</v>
      </c>
      <c r="Z42" s="402" t="s">
        <v>1246</v>
      </c>
      <c r="AA42" s="402" t="s">
        <v>1245</v>
      </c>
      <c r="AB42" s="402" t="s">
        <v>1247</v>
      </c>
      <c r="AC42" s="402" t="s">
        <v>1239</v>
      </c>
      <c r="AD42" s="402"/>
      <c r="AE42" s="402" t="s">
        <v>1239</v>
      </c>
      <c r="AF42" s="402"/>
      <c r="AG42" s="380" t="s">
        <v>1248</v>
      </c>
      <c r="AH42" s="382" t="s">
        <v>1249</v>
      </c>
      <c r="AI42" s="382" t="s">
        <v>1249</v>
      </c>
      <c r="AJ42" s="382" t="s">
        <v>1249</v>
      </c>
      <c r="AK42" s="380"/>
      <c r="AL42" s="382" t="s">
        <v>1250</v>
      </c>
    </row>
    <row r="43" spans="2:38" ht="42.75" customHeight="1" x14ac:dyDescent="0.25">
      <c r="B43" s="392">
        <f>250*2</f>
        <v>500</v>
      </c>
      <c r="D43" s="391" t="s">
        <v>1251</v>
      </c>
      <c r="I43" s="410">
        <f>B43/C39/24</f>
        <v>2.0246193715581473</v>
      </c>
      <c r="J43" s="410"/>
      <c r="K43" s="404">
        <v>2</v>
      </c>
      <c r="L43" s="404">
        <v>6</v>
      </c>
      <c r="M43" s="404">
        <v>6</v>
      </c>
      <c r="N43" s="404">
        <f>K43+L43+M43</f>
        <v>14</v>
      </c>
      <c r="Y43" s="402" t="s">
        <v>1252</v>
      </c>
      <c r="Z43" s="402"/>
      <c r="AA43" s="402" t="s">
        <v>1252</v>
      </c>
      <c r="AB43" s="402"/>
      <c r="AC43" s="402" t="s">
        <v>1245</v>
      </c>
      <c r="AD43" s="402"/>
      <c r="AE43" s="402" t="s">
        <v>1245</v>
      </c>
      <c r="AF43" s="402"/>
      <c r="AG43" s="380" t="s">
        <v>1253</v>
      </c>
      <c r="AH43" s="382" t="s">
        <v>1254</v>
      </c>
      <c r="AI43" s="382" t="s">
        <v>1254</v>
      </c>
      <c r="AJ43" s="382" t="s">
        <v>1254</v>
      </c>
      <c r="AK43" s="380"/>
      <c r="AL43" s="382" t="s">
        <v>1255</v>
      </c>
    </row>
    <row r="44" spans="2:38" x14ac:dyDescent="0.25">
      <c r="Y44" s="402" t="s">
        <v>1256</v>
      </c>
      <c r="Z44" s="402" t="s">
        <v>1257</v>
      </c>
      <c r="AA44" s="402" t="s">
        <v>1256</v>
      </c>
      <c r="AB44" s="402" t="s">
        <v>1257</v>
      </c>
      <c r="AC44" s="402" t="s">
        <v>1252</v>
      </c>
      <c r="AD44" s="402"/>
      <c r="AE44" s="402" t="s">
        <v>1252</v>
      </c>
      <c r="AF44" s="402"/>
      <c r="AG44" s="697" t="s">
        <v>1258</v>
      </c>
      <c r="AH44" s="698"/>
      <c r="AI44" s="380"/>
      <c r="AJ44" s="380"/>
      <c r="AK44" s="380"/>
      <c r="AL44" s="380"/>
    </row>
    <row r="45" spans="2:38" ht="28.5" customHeight="1" x14ac:dyDescent="0.25">
      <c r="B45" s="734" t="s">
        <v>1259</v>
      </c>
      <c r="C45" s="734"/>
      <c r="D45" s="734"/>
      <c r="E45" s="734"/>
      <c r="F45" s="734"/>
      <c r="G45" s="734"/>
      <c r="H45" s="734"/>
      <c r="I45" s="734"/>
      <c r="J45" s="734"/>
      <c r="K45" s="734"/>
      <c r="L45" s="734"/>
      <c r="M45" s="734"/>
      <c r="N45" s="734"/>
      <c r="O45" s="734"/>
      <c r="P45" s="734"/>
      <c r="Q45" s="734"/>
      <c r="R45" s="734"/>
      <c r="S45" s="734"/>
      <c r="T45" s="734"/>
      <c r="U45" s="734"/>
      <c r="V45" s="734"/>
      <c r="W45" s="734"/>
      <c r="Y45" s="402" t="s">
        <v>1260</v>
      </c>
      <c r="Z45" s="382">
        <v>1</v>
      </c>
      <c r="AA45" s="402" t="s">
        <v>1260</v>
      </c>
      <c r="AB45" s="382">
        <v>1</v>
      </c>
      <c r="AC45" s="402" t="s">
        <v>1256</v>
      </c>
      <c r="AD45" s="402"/>
      <c r="AE45" s="402" t="s">
        <v>1256</v>
      </c>
      <c r="AF45" s="402"/>
      <c r="AG45" s="380" t="s">
        <v>1261</v>
      </c>
      <c r="AH45" s="440" t="s">
        <v>1262</v>
      </c>
      <c r="AI45" s="440" t="s">
        <v>1262</v>
      </c>
      <c r="AJ45" s="440" t="s">
        <v>1262</v>
      </c>
      <c r="AK45" s="440"/>
      <c r="AL45" s="440" t="s">
        <v>1263</v>
      </c>
    </row>
    <row r="46" spans="2:38" x14ac:dyDescent="0.25">
      <c r="Y46" s="402" t="s">
        <v>1264</v>
      </c>
      <c r="Z46" s="382">
        <v>490</v>
      </c>
      <c r="AA46" s="402" t="s">
        <v>1264</v>
      </c>
      <c r="AB46" s="382">
        <v>490</v>
      </c>
      <c r="AC46" s="402" t="s">
        <v>1260</v>
      </c>
      <c r="AD46" s="382"/>
      <c r="AE46" s="402" t="s">
        <v>1260</v>
      </c>
      <c r="AF46" s="382"/>
      <c r="AG46" s="380" t="s">
        <v>1265</v>
      </c>
      <c r="AH46" s="382"/>
      <c r="AI46" s="380"/>
      <c r="AJ46" s="380"/>
      <c r="AK46" s="380"/>
      <c r="AL46" s="380" t="s">
        <v>1266</v>
      </c>
    </row>
    <row r="47" spans="2:38" x14ac:dyDescent="0.25">
      <c r="Y47" s="740" t="s">
        <v>1267</v>
      </c>
      <c r="Z47" s="741"/>
      <c r="AA47" s="740" t="s">
        <v>1267</v>
      </c>
      <c r="AB47" s="741"/>
      <c r="AC47" s="402" t="s">
        <v>1264</v>
      </c>
      <c r="AD47" s="382"/>
      <c r="AE47" s="402" t="s">
        <v>1264</v>
      </c>
      <c r="AF47" s="382"/>
      <c r="AG47" s="697" t="s">
        <v>1268</v>
      </c>
      <c r="AH47" s="698"/>
      <c r="AI47" s="380"/>
      <c r="AJ47" s="380"/>
      <c r="AK47" s="380"/>
      <c r="AL47" s="380"/>
    </row>
    <row r="48" spans="2:38" x14ac:dyDescent="0.25">
      <c r="Y48" s="380" t="s">
        <v>1269</v>
      </c>
      <c r="Z48" s="380"/>
      <c r="AA48" s="380" t="s">
        <v>1269</v>
      </c>
      <c r="AB48" s="380"/>
      <c r="AC48" s="697" t="s">
        <v>1267</v>
      </c>
      <c r="AD48" s="698"/>
      <c r="AE48" s="697" t="s">
        <v>1267</v>
      </c>
      <c r="AF48" s="698"/>
      <c r="AG48" s="380" t="s">
        <v>1270</v>
      </c>
      <c r="AH48" s="382"/>
      <c r="AI48" s="380"/>
      <c r="AJ48" s="380"/>
      <c r="AK48" s="380"/>
      <c r="AL48" s="382">
        <v>1</v>
      </c>
    </row>
    <row r="49" spans="25:38" x14ac:dyDescent="0.25">
      <c r="Y49" s="380" t="s">
        <v>1256</v>
      </c>
      <c r="Z49" s="441" t="s">
        <v>1271</v>
      </c>
      <c r="AA49" s="380" t="s">
        <v>1256</v>
      </c>
      <c r="AB49" s="441" t="s">
        <v>1271</v>
      </c>
      <c r="AC49" s="380" t="s">
        <v>1269</v>
      </c>
      <c r="AD49" s="380"/>
      <c r="AE49" s="380" t="s">
        <v>1269</v>
      </c>
      <c r="AF49" s="380"/>
      <c r="AG49" s="380" t="s">
        <v>1272</v>
      </c>
      <c r="AH49" s="382"/>
      <c r="AI49" s="380"/>
      <c r="AJ49" s="380"/>
      <c r="AK49" s="380"/>
      <c r="AL49" s="382">
        <v>2</v>
      </c>
    </row>
    <row r="50" spans="25:38" x14ac:dyDescent="0.25">
      <c r="Y50" s="380" t="s">
        <v>1273</v>
      </c>
      <c r="Z50" s="441">
        <v>1</v>
      </c>
      <c r="AA50" s="380" t="s">
        <v>1273</v>
      </c>
      <c r="AB50" s="441">
        <v>1</v>
      </c>
      <c r="AC50" s="380" t="s">
        <v>1256</v>
      </c>
      <c r="AD50" s="382"/>
      <c r="AE50" s="380" t="s">
        <v>1256</v>
      </c>
      <c r="AF50" s="382"/>
      <c r="AG50" s="697" t="s">
        <v>1274</v>
      </c>
      <c r="AH50" s="699"/>
      <c r="AI50" s="699"/>
      <c r="AJ50" s="699"/>
      <c r="AK50" s="699"/>
      <c r="AL50" s="698"/>
    </row>
    <row r="51" spans="25:38" x14ac:dyDescent="0.25">
      <c r="Y51" s="380" t="s">
        <v>1275</v>
      </c>
      <c r="Z51" s="441" t="s">
        <v>698</v>
      </c>
      <c r="AA51" s="380" t="s">
        <v>1275</v>
      </c>
      <c r="AB51" s="441" t="s">
        <v>698</v>
      </c>
      <c r="AC51" s="380" t="s">
        <v>1273</v>
      </c>
      <c r="AD51" s="382"/>
      <c r="AE51" s="380" t="s">
        <v>1273</v>
      </c>
      <c r="AF51" s="382"/>
      <c r="AG51" s="380" t="s">
        <v>1276</v>
      </c>
      <c r="AH51" s="382"/>
      <c r="AI51" s="380"/>
      <c r="AJ51" s="380"/>
      <c r="AK51" s="380"/>
      <c r="AL51" s="382" t="s">
        <v>1277</v>
      </c>
    </row>
    <row r="52" spans="25:38" x14ac:dyDescent="0.25">
      <c r="Y52" s="380" t="s">
        <v>1278</v>
      </c>
      <c r="Z52" s="442">
        <v>35</v>
      </c>
      <c r="AA52" s="380" t="s">
        <v>1278</v>
      </c>
      <c r="AB52" s="442">
        <v>35</v>
      </c>
      <c r="AC52" s="380" t="s">
        <v>1275</v>
      </c>
      <c r="AD52" s="382"/>
      <c r="AE52" s="380" t="s">
        <v>1275</v>
      </c>
      <c r="AF52" s="382"/>
      <c r="AG52" s="380" t="s">
        <v>1279</v>
      </c>
      <c r="AH52" s="382"/>
      <c r="AI52" s="380"/>
      <c r="AJ52" s="380"/>
      <c r="AK52" s="380"/>
      <c r="AL52" s="382">
        <v>5</v>
      </c>
    </row>
    <row r="53" spans="25:38" x14ac:dyDescent="0.25">
      <c r="Y53" s="380" t="s">
        <v>1280</v>
      </c>
      <c r="Z53" s="443"/>
      <c r="AA53" s="380" t="s">
        <v>1280</v>
      </c>
      <c r="AB53" s="443"/>
      <c r="AC53" s="380" t="s">
        <v>1278</v>
      </c>
      <c r="AD53" s="444"/>
      <c r="AE53" s="380" t="s">
        <v>1278</v>
      </c>
      <c r="AF53" s="444"/>
      <c r="AG53" s="380" t="s">
        <v>1281</v>
      </c>
      <c r="AH53" s="382"/>
      <c r="AI53" s="380"/>
      <c r="AJ53" s="380"/>
      <c r="AK53" s="380"/>
      <c r="AL53" s="382" t="s">
        <v>1282</v>
      </c>
    </row>
    <row r="54" spans="25:38" x14ac:dyDescent="0.25">
      <c r="Y54" s="380" t="s">
        <v>1256</v>
      </c>
      <c r="Z54" s="441" t="s">
        <v>1283</v>
      </c>
      <c r="AA54" s="380" t="s">
        <v>1256</v>
      </c>
      <c r="AB54" s="441" t="s">
        <v>1283</v>
      </c>
      <c r="AC54" s="380" t="s">
        <v>1280</v>
      </c>
      <c r="AD54" s="380"/>
      <c r="AE54" s="380" t="s">
        <v>1280</v>
      </c>
      <c r="AF54" s="380"/>
      <c r="AG54" s="380" t="s">
        <v>1284</v>
      </c>
      <c r="AH54" s="382"/>
      <c r="AI54" s="380"/>
      <c r="AJ54" s="380"/>
      <c r="AK54" s="380"/>
      <c r="AL54" s="382" t="s">
        <v>1285</v>
      </c>
    </row>
    <row r="55" spans="25:38" x14ac:dyDescent="0.25">
      <c r="Y55" s="380" t="s">
        <v>1273</v>
      </c>
      <c r="Z55" s="441">
        <v>1</v>
      </c>
      <c r="AA55" s="380" t="s">
        <v>1273</v>
      </c>
      <c r="AB55" s="441">
        <v>1</v>
      </c>
      <c r="AC55" s="380" t="s">
        <v>1256</v>
      </c>
      <c r="AD55" s="382"/>
      <c r="AE55" s="380" t="s">
        <v>1256</v>
      </c>
      <c r="AF55" s="382"/>
      <c r="AG55" s="380" t="s">
        <v>1279</v>
      </c>
      <c r="AH55" s="382"/>
      <c r="AI55" s="380"/>
      <c r="AJ55" s="380"/>
      <c r="AK55" s="380"/>
      <c r="AL55" s="382">
        <v>5</v>
      </c>
    </row>
    <row r="56" spans="25:38" x14ac:dyDescent="0.25">
      <c r="Y56" s="380" t="s">
        <v>1275</v>
      </c>
      <c r="Z56" s="441">
        <v>0.4</v>
      </c>
      <c r="AA56" s="380" t="s">
        <v>1275</v>
      </c>
      <c r="AB56" s="441">
        <v>0.4</v>
      </c>
      <c r="AC56" s="380" t="s">
        <v>1273</v>
      </c>
      <c r="AD56" s="382"/>
      <c r="AE56" s="380" t="s">
        <v>1273</v>
      </c>
      <c r="AF56" s="382"/>
      <c r="AG56" s="380" t="s">
        <v>1286</v>
      </c>
      <c r="AH56" s="382"/>
      <c r="AI56" s="380"/>
      <c r="AJ56" s="380"/>
      <c r="AK56" s="380"/>
      <c r="AL56" s="382">
        <v>1400</v>
      </c>
    </row>
    <row r="57" spans="25:38" x14ac:dyDescent="0.25">
      <c r="Y57" s="380" t="s">
        <v>1278</v>
      </c>
      <c r="Z57" s="441">
        <v>15.3</v>
      </c>
      <c r="AA57" s="380" t="s">
        <v>1278</v>
      </c>
      <c r="AB57" s="441">
        <v>15.3</v>
      </c>
      <c r="AC57" s="380" t="s">
        <v>1275</v>
      </c>
      <c r="AD57" s="382"/>
      <c r="AE57" s="380" t="s">
        <v>1275</v>
      </c>
      <c r="AF57" s="382"/>
    </row>
    <row r="58" spans="25:38" x14ac:dyDescent="0.25">
      <c r="Y58" s="738" t="s">
        <v>1205</v>
      </c>
      <c r="Z58" s="739"/>
      <c r="AA58" s="697" t="s">
        <v>1287</v>
      </c>
      <c r="AB58" s="698"/>
      <c r="AC58" s="380" t="s">
        <v>1278</v>
      </c>
      <c r="AD58" s="382"/>
      <c r="AE58" s="380" t="s">
        <v>1278</v>
      </c>
      <c r="AF58" s="382"/>
      <c r="AG58" s="737" t="s">
        <v>1288</v>
      </c>
      <c r="AH58" s="737"/>
      <c r="AI58" s="737"/>
      <c r="AJ58" s="737"/>
      <c r="AK58" s="737"/>
      <c r="AL58" s="737"/>
    </row>
    <row r="59" spans="25:38" x14ac:dyDescent="0.25">
      <c r="Y59" s="446"/>
      <c r="Z59" s="375" t="s">
        <v>1212</v>
      </c>
      <c r="AA59" s="380" t="s">
        <v>1289</v>
      </c>
      <c r="AB59" s="382" t="s">
        <v>1290</v>
      </c>
      <c r="AC59" s="697" t="s">
        <v>1205</v>
      </c>
      <c r="AD59" s="698"/>
      <c r="AE59" s="697" t="s">
        <v>1205</v>
      </c>
      <c r="AF59" s="698"/>
    </row>
    <row r="60" spans="25:38" x14ac:dyDescent="0.25">
      <c r="Y60" s="380" t="s">
        <v>1216</v>
      </c>
      <c r="Z60" s="447" t="s">
        <v>1291</v>
      </c>
      <c r="AA60" s="380" t="s">
        <v>1292</v>
      </c>
      <c r="AB60" s="382" t="s">
        <v>1293</v>
      </c>
      <c r="AC60" s="446"/>
      <c r="AD60" s="375"/>
      <c r="AE60" s="446"/>
      <c r="AF60" s="375"/>
    </row>
    <row r="61" spans="25:38" ht="45" x14ac:dyDescent="0.25">
      <c r="Y61" s="380" t="s">
        <v>1221</v>
      </c>
      <c r="Z61" s="447" t="s">
        <v>1222</v>
      </c>
      <c r="AA61" s="380" t="s">
        <v>1294</v>
      </c>
      <c r="AB61" s="374" t="s">
        <v>1295</v>
      </c>
      <c r="AC61" s="380" t="s">
        <v>1216</v>
      </c>
      <c r="AD61" s="382"/>
      <c r="AE61" s="380" t="s">
        <v>1216</v>
      </c>
      <c r="AF61" s="382"/>
    </row>
    <row r="62" spans="25:38" x14ac:dyDescent="0.25">
      <c r="Y62" s="380" t="s">
        <v>1228</v>
      </c>
      <c r="Z62" s="447" t="s">
        <v>1296</v>
      </c>
      <c r="AA62" s="380" t="s">
        <v>1297</v>
      </c>
      <c r="AB62" s="382" t="s">
        <v>1298</v>
      </c>
      <c r="AC62" s="380" t="s">
        <v>1221</v>
      </c>
      <c r="AD62" s="382"/>
      <c r="AE62" s="380" t="s">
        <v>1221</v>
      </c>
      <c r="AF62" s="382"/>
    </row>
    <row r="63" spans="25:38" x14ac:dyDescent="0.25">
      <c r="Y63" s="380" t="s">
        <v>1236</v>
      </c>
      <c r="Z63" s="447" t="s">
        <v>1299</v>
      </c>
      <c r="AA63" s="380"/>
      <c r="AB63" s="382" t="s">
        <v>1300</v>
      </c>
      <c r="AC63" s="380" t="s">
        <v>1228</v>
      </c>
      <c r="AD63" s="382"/>
      <c r="AE63" s="380" t="s">
        <v>1228</v>
      </c>
      <c r="AF63" s="382"/>
    </row>
    <row r="64" spans="25:38" x14ac:dyDescent="0.25">
      <c r="Y64" s="380" t="s">
        <v>1242</v>
      </c>
      <c r="Z64" s="447" t="s">
        <v>1243</v>
      </c>
      <c r="AA64" s="738" t="s">
        <v>1205</v>
      </c>
      <c r="AB64" s="739"/>
      <c r="AC64" s="380" t="s">
        <v>1236</v>
      </c>
      <c r="AD64" s="382"/>
      <c r="AE64" s="380" t="s">
        <v>1236</v>
      </c>
      <c r="AF64" s="382"/>
    </row>
    <row r="65" spans="25:32" x14ac:dyDescent="0.25">
      <c r="Y65" s="380" t="s">
        <v>1248</v>
      </c>
      <c r="Z65" s="447" t="s">
        <v>1249</v>
      </c>
      <c r="AA65" s="446"/>
      <c r="AB65" s="445" t="s">
        <v>1212</v>
      </c>
      <c r="AC65" s="380" t="s">
        <v>1242</v>
      </c>
      <c r="AD65" s="382"/>
      <c r="AE65" s="380" t="s">
        <v>1242</v>
      </c>
      <c r="AF65" s="382"/>
    </row>
    <row r="66" spans="25:32" x14ac:dyDescent="0.25">
      <c r="Y66" s="448" t="s">
        <v>1253</v>
      </c>
      <c r="Z66" s="449" t="s">
        <v>1254</v>
      </c>
      <c r="AA66" s="380" t="s">
        <v>1216</v>
      </c>
      <c r="AB66" s="447" t="s">
        <v>1291</v>
      </c>
      <c r="AC66" s="380" t="s">
        <v>1248</v>
      </c>
      <c r="AD66" s="382"/>
      <c r="AE66" s="380" t="s">
        <v>1248</v>
      </c>
      <c r="AF66" s="382"/>
    </row>
    <row r="67" spans="25:32" x14ac:dyDescent="0.25">
      <c r="Y67" s="740" t="s">
        <v>1258</v>
      </c>
      <c r="Z67" s="741"/>
      <c r="AA67" s="380" t="s">
        <v>1221</v>
      </c>
      <c r="AB67" s="447" t="s">
        <v>1222</v>
      </c>
      <c r="AC67" s="448" t="s">
        <v>1253</v>
      </c>
      <c r="AD67" s="450"/>
      <c r="AE67" s="448" t="s">
        <v>1253</v>
      </c>
      <c r="AF67" s="450"/>
    </row>
    <row r="68" spans="25:32" x14ac:dyDescent="0.25">
      <c r="Y68" s="448" t="s">
        <v>1301</v>
      </c>
      <c r="Z68" s="382" t="s">
        <v>1302</v>
      </c>
      <c r="AA68" s="380" t="s">
        <v>1228</v>
      </c>
      <c r="AB68" s="447" t="s">
        <v>1296</v>
      </c>
      <c r="AC68" s="697" t="s">
        <v>1258</v>
      </c>
      <c r="AD68" s="698"/>
      <c r="AE68" s="697" t="s">
        <v>1258</v>
      </c>
      <c r="AF68" s="698"/>
    </row>
    <row r="69" spans="25:32" x14ac:dyDescent="0.25">
      <c r="Y69" s="738" t="s">
        <v>1303</v>
      </c>
      <c r="Z69" s="739"/>
      <c r="AA69" s="380" t="s">
        <v>1236</v>
      </c>
      <c r="AB69" s="447" t="s">
        <v>1299</v>
      </c>
      <c r="AC69" s="448" t="s">
        <v>1301</v>
      </c>
      <c r="AD69" s="382"/>
      <c r="AE69" s="448" t="s">
        <v>1301</v>
      </c>
      <c r="AF69" s="382"/>
    </row>
    <row r="70" spans="25:32" x14ac:dyDescent="0.25">
      <c r="Y70" s="380" t="s">
        <v>1304</v>
      </c>
      <c r="Z70" s="447">
        <v>2</v>
      </c>
      <c r="AA70" s="380" t="s">
        <v>1242</v>
      </c>
      <c r="AB70" s="447" t="s">
        <v>1243</v>
      </c>
      <c r="AC70" s="697" t="s">
        <v>1303</v>
      </c>
      <c r="AD70" s="698"/>
      <c r="AE70" s="697" t="s">
        <v>1303</v>
      </c>
      <c r="AF70" s="698"/>
    </row>
    <row r="71" spans="25:32" x14ac:dyDescent="0.25">
      <c r="Y71" s="380" t="s">
        <v>1305</v>
      </c>
      <c r="Z71" s="447">
        <v>5</v>
      </c>
      <c r="AA71" s="380" t="s">
        <v>1248</v>
      </c>
      <c r="AB71" s="447" t="s">
        <v>1249</v>
      </c>
      <c r="AC71" s="380" t="s">
        <v>1304</v>
      </c>
      <c r="AD71" s="382"/>
      <c r="AE71" s="380" t="s">
        <v>1304</v>
      </c>
      <c r="AF71" s="382"/>
    </row>
    <row r="72" spans="25:32" x14ac:dyDescent="0.25">
      <c r="Y72" s="740" t="s">
        <v>1195</v>
      </c>
      <c r="Z72" s="741"/>
      <c r="AA72" s="448" t="s">
        <v>1253</v>
      </c>
      <c r="AB72" s="447" t="s">
        <v>1254</v>
      </c>
      <c r="AC72" s="380" t="s">
        <v>1305</v>
      </c>
      <c r="AD72" s="382"/>
      <c r="AE72" s="380" t="s">
        <v>1305</v>
      </c>
      <c r="AF72" s="382"/>
    </row>
    <row r="73" spans="25:32" x14ac:dyDescent="0.25">
      <c r="Y73" s="380" t="s">
        <v>1198</v>
      </c>
      <c r="Z73" s="382"/>
      <c r="AA73" s="740" t="s">
        <v>1258</v>
      </c>
      <c r="AB73" s="741"/>
      <c r="AC73" s="697" t="s">
        <v>1195</v>
      </c>
      <c r="AD73" s="698"/>
      <c r="AE73" s="697" t="s">
        <v>1195</v>
      </c>
      <c r="AF73" s="698"/>
    </row>
    <row r="74" spans="25:32" x14ac:dyDescent="0.25">
      <c r="Y74" s="380" t="s">
        <v>1200</v>
      </c>
      <c r="Z74" s="441">
        <v>3</v>
      </c>
      <c r="AA74" s="448" t="s">
        <v>1301</v>
      </c>
      <c r="AB74" s="441" t="s">
        <v>1306</v>
      </c>
      <c r="AC74" s="380" t="s">
        <v>1307</v>
      </c>
      <c r="AD74" s="382"/>
      <c r="AE74" s="380" t="s">
        <v>1307</v>
      </c>
      <c r="AF74" s="382"/>
    </row>
    <row r="75" spans="25:32" x14ac:dyDescent="0.25">
      <c r="Y75" s="380" t="s">
        <v>1308</v>
      </c>
      <c r="Z75" s="441">
        <v>1</v>
      </c>
      <c r="AA75" s="697" t="s">
        <v>1309</v>
      </c>
      <c r="AB75" s="698"/>
      <c r="AC75" s="380" t="s">
        <v>1200</v>
      </c>
      <c r="AD75" s="382"/>
      <c r="AE75" s="380" t="s">
        <v>1200</v>
      </c>
      <c r="AF75" s="382"/>
    </row>
    <row r="76" spans="25:32" x14ac:dyDescent="0.25">
      <c r="Y76" s="380" t="s">
        <v>1310</v>
      </c>
      <c r="Z76" s="441">
        <v>1</v>
      </c>
      <c r="AA76" s="380" t="s">
        <v>1311</v>
      </c>
      <c r="AB76" s="382"/>
      <c r="AC76" s="380" t="s">
        <v>1308</v>
      </c>
      <c r="AD76" s="382"/>
      <c r="AE76" s="380" t="s">
        <v>1308</v>
      </c>
      <c r="AF76" s="382"/>
    </row>
    <row r="77" spans="25:32" x14ac:dyDescent="0.25">
      <c r="Y77" s="380" t="s">
        <v>1312</v>
      </c>
      <c r="Z77" s="441">
        <v>4</v>
      </c>
      <c r="AA77" s="380" t="s">
        <v>1313</v>
      </c>
      <c r="AB77" s="444">
        <v>50</v>
      </c>
      <c r="AC77" s="380" t="s">
        <v>1310</v>
      </c>
      <c r="AD77" s="382"/>
      <c r="AE77" s="380" t="s">
        <v>1310</v>
      </c>
      <c r="AF77" s="382"/>
    </row>
    <row r="78" spans="25:32" x14ac:dyDescent="0.25">
      <c r="Y78" s="380" t="s">
        <v>1314</v>
      </c>
      <c r="Z78" s="441">
        <v>3</v>
      </c>
      <c r="AA78" s="380" t="s">
        <v>1315</v>
      </c>
      <c r="AB78" s="444">
        <v>75</v>
      </c>
      <c r="AC78" s="380" t="s">
        <v>1312</v>
      </c>
      <c r="AD78" s="382"/>
      <c r="AE78" s="380" t="s">
        <v>1312</v>
      </c>
      <c r="AF78" s="382"/>
    </row>
    <row r="79" spans="25:32" x14ac:dyDescent="0.25">
      <c r="Y79" s="380" t="s">
        <v>1316</v>
      </c>
      <c r="Z79" s="441">
        <v>3</v>
      </c>
      <c r="AA79" s="738" t="s">
        <v>1303</v>
      </c>
      <c r="AB79" s="739"/>
      <c r="AC79" s="380" t="s">
        <v>1314</v>
      </c>
      <c r="AD79" s="382"/>
      <c r="AE79" s="380" t="s">
        <v>1314</v>
      </c>
      <c r="AF79" s="382"/>
    </row>
    <row r="80" spans="25:32" x14ac:dyDescent="0.25">
      <c r="Y80" s="742" t="s">
        <v>1268</v>
      </c>
      <c r="Z80" s="743"/>
      <c r="AA80" s="380" t="s">
        <v>1304</v>
      </c>
      <c r="AB80" s="447">
        <v>2</v>
      </c>
      <c r="AC80" s="380" t="s">
        <v>1316</v>
      </c>
      <c r="AD80" s="382"/>
      <c r="AE80" s="380" t="s">
        <v>1316</v>
      </c>
      <c r="AF80" s="382"/>
    </row>
    <row r="81" spans="25:32" x14ac:dyDescent="0.25">
      <c r="Y81" s="380" t="s">
        <v>1317</v>
      </c>
      <c r="Z81" s="380"/>
      <c r="AA81" s="380" t="s">
        <v>1305</v>
      </c>
      <c r="AB81" s="447">
        <v>5</v>
      </c>
      <c r="AC81" s="697" t="s">
        <v>1268</v>
      </c>
      <c r="AD81" s="698"/>
      <c r="AE81" s="697" t="s">
        <v>1268</v>
      </c>
      <c r="AF81" s="698"/>
    </row>
    <row r="82" spans="25:32" x14ac:dyDescent="0.25">
      <c r="Y82" s="380" t="s">
        <v>1318</v>
      </c>
      <c r="Z82" s="380"/>
      <c r="AA82" s="740" t="s">
        <v>1195</v>
      </c>
      <c r="AB82" s="741"/>
      <c r="AC82" s="380" t="s">
        <v>1317</v>
      </c>
      <c r="AD82" s="380"/>
      <c r="AE82" s="380" t="s">
        <v>1317</v>
      </c>
      <c r="AF82" s="380"/>
    </row>
    <row r="83" spans="25:32" x14ac:dyDescent="0.25">
      <c r="Y83" s="380" t="s">
        <v>1319</v>
      </c>
      <c r="Z83" s="441">
        <v>1</v>
      </c>
      <c r="AA83" s="380" t="s">
        <v>1307</v>
      </c>
      <c r="AB83" s="382"/>
      <c r="AC83" s="380" t="s">
        <v>1318</v>
      </c>
      <c r="AD83" s="380"/>
      <c r="AE83" s="380" t="s">
        <v>1318</v>
      </c>
      <c r="AF83" s="380"/>
    </row>
    <row r="84" spans="25:32" x14ac:dyDescent="0.25">
      <c r="Y84" s="380" t="s">
        <v>1320</v>
      </c>
      <c r="Z84" s="441">
        <v>0.4</v>
      </c>
      <c r="AA84" s="380" t="s">
        <v>1200</v>
      </c>
      <c r="AB84" s="441">
        <v>3</v>
      </c>
      <c r="AC84" s="380" t="s">
        <v>1321</v>
      </c>
      <c r="AD84" s="382"/>
      <c r="AE84" s="380" t="s">
        <v>1321</v>
      </c>
      <c r="AF84" s="382"/>
    </row>
    <row r="85" spans="25:32" x14ac:dyDescent="0.25">
      <c r="Y85" s="380" t="s">
        <v>1322</v>
      </c>
      <c r="Z85" s="441">
        <v>15</v>
      </c>
      <c r="AA85" s="380" t="s">
        <v>1308</v>
      </c>
      <c r="AB85" s="441">
        <v>1</v>
      </c>
      <c r="AC85" s="380" t="s">
        <v>1320</v>
      </c>
      <c r="AD85" s="382"/>
      <c r="AE85" s="380" t="s">
        <v>1320</v>
      </c>
      <c r="AF85" s="382"/>
    </row>
    <row r="86" spans="25:32" x14ac:dyDescent="0.25">
      <c r="Y86" s="380" t="s">
        <v>1323</v>
      </c>
      <c r="Z86" s="451">
        <v>1</v>
      </c>
      <c r="AA86" s="380" t="s">
        <v>1310</v>
      </c>
      <c r="AB86" s="441">
        <v>1</v>
      </c>
      <c r="AC86" s="380" t="s">
        <v>1322</v>
      </c>
      <c r="AD86" s="382"/>
      <c r="AE86" s="380" t="s">
        <v>1322</v>
      </c>
      <c r="AF86" s="382"/>
    </row>
    <row r="87" spans="25:32" x14ac:dyDescent="0.25">
      <c r="Y87" s="380" t="s">
        <v>1324</v>
      </c>
      <c r="Z87" s="451">
        <v>1</v>
      </c>
      <c r="AA87" s="380" t="s">
        <v>1325</v>
      </c>
      <c r="AB87" s="441">
        <v>1</v>
      </c>
      <c r="AC87" s="380" t="s">
        <v>1323</v>
      </c>
      <c r="AD87" s="382"/>
      <c r="AE87" s="380" t="s">
        <v>1323</v>
      </c>
      <c r="AF87" s="382"/>
    </row>
    <row r="88" spans="25:32" x14ac:dyDescent="0.25">
      <c r="Y88" s="380" t="s">
        <v>1326</v>
      </c>
      <c r="Z88" s="451" t="s">
        <v>1327</v>
      </c>
      <c r="AA88" s="380" t="s">
        <v>1328</v>
      </c>
      <c r="AB88" s="441">
        <v>1</v>
      </c>
      <c r="AC88" s="380" t="s">
        <v>1324</v>
      </c>
      <c r="AD88" s="382"/>
      <c r="AE88" s="380" t="s">
        <v>1324</v>
      </c>
      <c r="AF88" s="382"/>
    </row>
    <row r="89" spans="25:32" x14ac:dyDescent="0.25">
      <c r="Y89" s="380" t="s">
        <v>1329</v>
      </c>
      <c r="Z89" s="451">
        <v>1</v>
      </c>
      <c r="AA89" s="380" t="s">
        <v>1330</v>
      </c>
      <c r="AB89" s="441">
        <v>1</v>
      </c>
      <c r="AC89" s="380" t="s">
        <v>1326</v>
      </c>
      <c r="AD89" s="382"/>
      <c r="AE89" s="380" t="s">
        <v>1326</v>
      </c>
      <c r="AF89" s="382"/>
    </row>
    <row r="90" spans="25:32" x14ac:dyDescent="0.25">
      <c r="Y90" s="380" t="s">
        <v>1331</v>
      </c>
      <c r="Z90" s="451">
        <v>1</v>
      </c>
      <c r="AA90" s="380" t="s">
        <v>1312</v>
      </c>
      <c r="AB90" s="441">
        <v>4</v>
      </c>
      <c r="AC90" s="380" t="s">
        <v>1329</v>
      </c>
      <c r="AD90" s="382"/>
      <c r="AE90" s="380" t="s">
        <v>1329</v>
      </c>
      <c r="AF90" s="382"/>
    </row>
    <row r="91" spans="25:32" x14ac:dyDescent="0.25">
      <c r="Y91" s="380" t="s">
        <v>1272</v>
      </c>
      <c r="Z91" s="451">
        <v>2</v>
      </c>
      <c r="AA91" s="380" t="s">
        <v>1332</v>
      </c>
      <c r="AB91" s="441"/>
      <c r="AC91" s="380" t="s">
        <v>1331</v>
      </c>
      <c r="AD91" s="382"/>
      <c r="AE91" s="380" t="s">
        <v>1331</v>
      </c>
      <c r="AF91" s="382"/>
    </row>
    <row r="92" spans="25:32" x14ac:dyDescent="0.25">
      <c r="Y92" s="740" t="s">
        <v>1333</v>
      </c>
      <c r="Z92" s="741"/>
      <c r="AA92" s="380" t="s">
        <v>1334</v>
      </c>
      <c r="AB92" s="441">
        <v>1</v>
      </c>
      <c r="AC92" s="380" t="s">
        <v>1272</v>
      </c>
      <c r="AD92" s="382"/>
      <c r="AE92" s="380" t="s">
        <v>1272</v>
      </c>
      <c r="AF92" s="382"/>
    </row>
    <row r="93" spans="25:32" x14ac:dyDescent="0.25">
      <c r="Y93" s="380" t="s">
        <v>1335</v>
      </c>
      <c r="Z93" s="380"/>
      <c r="AA93" s="380" t="s">
        <v>1336</v>
      </c>
      <c r="AB93" s="441">
        <v>1</v>
      </c>
      <c r="AC93" s="697" t="s">
        <v>1333</v>
      </c>
      <c r="AD93" s="698"/>
      <c r="AE93" s="697" t="s">
        <v>1333</v>
      </c>
      <c r="AF93" s="698"/>
    </row>
    <row r="94" spans="25:32" x14ac:dyDescent="0.25">
      <c r="Y94" s="697" t="s">
        <v>1337</v>
      </c>
      <c r="Z94" s="698"/>
      <c r="AA94" s="380" t="s">
        <v>1314</v>
      </c>
      <c r="AB94" s="441">
        <v>3</v>
      </c>
      <c r="AC94" s="380" t="s">
        <v>1335</v>
      </c>
      <c r="AD94" s="380"/>
      <c r="AE94" s="380" t="s">
        <v>1335</v>
      </c>
      <c r="AF94" s="380"/>
    </row>
    <row r="95" spans="25:32" x14ac:dyDescent="0.25">
      <c r="Y95" s="380" t="s">
        <v>1338</v>
      </c>
      <c r="Z95" s="380"/>
      <c r="AA95" s="380" t="s">
        <v>1316</v>
      </c>
      <c r="AB95" s="441">
        <v>3</v>
      </c>
      <c r="AC95" s="697" t="s">
        <v>1337</v>
      </c>
      <c r="AD95" s="698"/>
      <c r="AE95" s="697" t="s">
        <v>1337</v>
      </c>
      <c r="AF95" s="698"/>
    </row>
    <row r="96" spans="25:32" x14ac:dyDescent="0.25">
      <c r="Y96" s="697" t="s">
        <v>1274</v>
      </c>
      <c r="Z96" s="698"/>
      <c r="AA96" s="738" t="s">
        <v>1268</v>
      </c>
      <c r="AB96" s="739"/>
      <c r="AC96" s="380" t="s">
        <v>1338</v>
      </c>
      <c r="AD96" s="380"/>
      <c r="AE96" s="380" t="s">
        <v>1338</v>
      </c>
      <c r="AF96" s="380"/>
    </row>
    <row r="97" spans="25:32" x14ac:dyDescent="0.25">
      <c r="Y97" s="380" t="s">
        <v>1276</v>
      </c>
      <c r="Z97" s="380" t="s">
        <v>1277</v>
      </c>
      <c r="AA97" s="380" t="s">
        <v>1317</v>
      </c>
      <c r="AB97" s="380"/>
      <c r="AC97" s="697" t="s">
        <v>1274</v>
      </c>
      <c r="AD97" s="698"/>
      <c r="AE97" s="697" t="s">
        <v>1274</v>
      </c>
      <c r="AF97" s="698"/>
    </row>
    <row r="98" spans="25:32" x14ac:dyDescent="0.25">
      <c r="Y98" s="380" t="s">
        <v>1279</v>
      </c>
      <c r="Z98" s="382">
        <v>24</v>
      </c>
      <c r="AA98" s="380" t="s">
        <v>1318</v>
      </c>
      <c r="AB98" s="380"/>
      <c r="AC98" s="380" t="s">
        <v>1276</v>
      </c>
      <c r="AD98" s="380"/>
      <c r="AE98" s="380" t="s">
        <v>1276</v>
      </c>
      <c r="AF98" s="380"/>
    </row>
    <row r="99" spans="25:32" x14ac:dyDescent="0.25">
      <c r="Y99" s="380" t="s">
        <v>1339</v>
      </c>
      <c r="Z99" s="382" t="s">
        <v>1340</v>
      </c>
      <c r="AA99" s="380" t="s">
        <v>1319</v>
      </c>
      <c r="AB99" s="447">
        <v>1</v>
      </c>
      <c r="AC99" s="380" t="s">
        <v>1279</v>
      </c>
      <c r="AD99" s="382"/>
      <c r="AE99" s="380" t="s">
        <v>1279</v>
      </c>
      <c r="AF99" s="382"/>
    </row>
    <row r="100" spans="25:32" x14ac:dyDescent="0.25">
      <c r="Y100" s="380" t="s">
        <v>1341</v>
      </c>
      <c r="Z100" s="382">
        <v>1</v>
      </c>
      <c r="AA100" s="380" t="s">
        <v>1320</v>
      </c>
      <c r="AB100" s="447">
        <v>0.4</v>
      </c>
      <c r="AC100" s="380" t="s">
        <v>1339</v>
      </c>
      <c r="AD100" s="382"/>
      <c r="AE100" s="380" t="s">
        <v>1339</v>
      </c>
      <c r="AF100" s="382"/>
    </row>
    <row r="101" spans="25:32" x14ac:dyDescent="0.25">
      <c r="Y101" s="380" t="s">
        <v>1342</v>
      </c>
      <c r="Z101" s="382">
        <v>1.2</v>
      </c>
      <c r="AA101" s="380" t="s">
        <v>1322</v>
      </c>
      <c r="AB101" s="447">
        <v>15</v>
      </c>
      <c r="AC101" s="380" t="s">
        <v>1341</v>
      </c>
      <c r="AD101" s="382"/>
      <c r="AE101" s="380" t="s">
        <v>1341</v>
      </c>
      <c r="AF101" s="382"/>
    </row>
    <row r="102" spans="25:32" x14ac:dyDescent="0.25">
      <c r="Y102" s="380" t="s">
        <v>1343</v>
      </c>
      <c r="Z102" s="382" t="s">
        <v>1344</v>
      </c>
      <c r="AA102" s="380" t="s">
        <v>1345</v>
      </c>
      <c r="AB102" s="447">
        <v>3</v>
      </c>
      <c r="AC102" s="380" t="s">
        <v>1342</v>
      </c>
      <c r="AD102" s="382"/>
      <c r="AE102" s="380" t="s">
        <v>1342</v>
      </c>
      <c r="AF102" s="382"/>
    </row>
    <row r="103" spans="25:32" x14ac:dyDescent="0.25">
      <c r="Y103" s="738" t="s">
        <v>1346</v>
      </c>
      <c r="Z103" s="739"/>
      <c r="AA103" s="380" t="s">
        <v>1326</v>
      </c>
      <c r="AB103" s="447" t="s">
        <v>1347</v>
      </c>
      <c r="AC103" s="380" t="s">
        <v>1343</v>
      </c>
      <c r="AD103" s="382"/>
      <c r="AE103" s="380" t="s">
        <v>1343</v>
      </c>
      <c r="AF103" s="382"/>
    </row>
    <row r="104" spans="25:32" ht="30" x14ac:dyDescent="0.25">
      <c r="Y104" s="440" t="s">
        <v>1348</v>
      </c>
      <c r="Z104" s="447" t="s">
        <v>1349</v>
      </c>
      <c r="AA104" s="380" t="s">
        <v>1329</v>
      </c>
      <c r="AB104" s="447">
        <v>1</v>
      </c>
      <c r="AC104" s="697" t="s">
        <v>1346</v>
      </c>
      <c r="AD104" s="698"/>
      <c r="AE104" s="697" t="s">
        <v>1346</v>
      </c>
      <c r="AF104" s="698"/>
    </row>
    <row r="105" spans="25:32" ht="30" x14ac:dyDescent="0.25">
      <c r="Y105" s="440" t="s">
        <v>1350</v>
      </c>
      <c r="Z105" s="447" t="s">
        <v>1351</v>
      </c>
      <c r="AA105" s="380" t="s">
        <v>1331</v>
      </c>
      <c r="AB105" s="382">
        <v>1</v>
      </c>
      <c r="AC105" s="440" t="s">
        <v>1348</v>
      </c>
      <c r="AD105" s="382"/>
      <c r="AE105" s="440" t="s">
        <v>1348</v>
      </c>
      <c r="AF105" s="382"/>
    </row>
    <row r="106" spans="25:32" ht="30" x14ac:dyDescent="0.25">
      <c r="Y106" s="697" t="s">
        <v>1352</v>
      </c>
      <c r="Z106" s="698"/>
      <c r="AA106" s="380" t="s">
        <v>1272</v>
      </c>
      <c r="AB106" s="382">
        <v>2</v>
      </c>
      <c r="AC106" s="440" t="s">
        <v>1350</v>
      </c>
      <c r="AD106" s="382"/>
      <c r="AE106" s="440" t="s">
        <v>1350</v>
      </c>
      <c r="AF106" s="382"/>
    </row>
    <row r="107" spans="25:32" x14ac:dyDescent="0.25">
      <c r="Y107" s="380"/>
      <c r="Z107" s="382"/>
      <c r="AA107" s="697" t="s">
        <v>1333</v>
      </c>
      <c r="AB107" s="698"/>
      <c r="AC107" s="697" t="s">
        <v>1353</v>
      </c>
      <c r="AD107" s="698"/>
      <c r="AE107" s="697" t="s">
        <v>1354</v>
      </c>
      <c r="AF107" s="698"/>
    </row>
    <row r="108" spans="25:32" x14ac:dyDescent="0.25">
      <c r="AA108" s="380" t="s">
        <v>1335</v>
      </c>
      <c r="AB108" s="380"/>
      <c r="AC108" s="380"/>
      <c r="AD108" s="382"/>
      <c r="AE108" s="380"/>
      <c r="AF108" s="382"/>
    </row>
    <row r="109" spans="25:32" x14ac:dyDescent="0.25">
      <c r="AA109" s="697" t="s">
        <v>1337</v>
      </c>
      <c r="AB109" s="698"/>
    </row>
    <row r="110" spans="25:32" x14ac:dyDescent="0.25">
      <c r="AA110" s="380" t="s">
        <v>1338</v>
      </c>
      <c r="AB110" s="380"/>
    </row>
    <row r="111" spans="25:32" x14ac:dyDescent="0.25">
      <c r="AA111" s="697" t="s">
        <v>1274</v>
      </c>
      <c r="AB111" s="698"/>
    </row>
    <row r="112" spans="25:32" x14ac:dyDescent="0.25">
      <c r="AA112" s="380" t="s">
        <v>1276</v>
      </c>
      <c r="AB112" s="380" t="s">
        <v>1277</v>
      </c>
    </row>
    <row r="113" spans="27:28" x14ac:dyDescent="0.25">
      <c r="AA113" s="380" t="s">
        <v>1279</v>
      </c>
      <c r="AB113" s="382">
        <v>24</v>
      </c>
    </row>
    <row r="114" spans="27:28" x14ac:dyDescent="0.25">
      <c r="AA114" s="380" t="s">
        <v>1339</v>
      </c>
      <c r="AB114" s="382" t="s">
        <v>1340</v>
      </c>
    </row>
    <row r="115" spans="27:28" x14ac:dyDescent="0.25">
      <c r="AA115" s="380" t="s">
        <v>1341</v>
      </c>
      <c r="AB115" s="382">
        <v>1</v>
      </c>
    </row>
    <row r="116" spans="27:28" x14ac:dyDescent="0.25">
      <c r="AA116" s="380" t="s">
        <v>1342</v>
      </c>
      <c r="AB116" s="382">
        <v>1.2</v>
      </c>
    </row>
    <row r="117" spans="27:28" x14ac:dyDescent="0.25">
      <c r="AA117" s="380" t="s">
        <v>1343</v>
      </c>
      <c r="AB117" s="382" t="s">
        <v>1344</v>
      </c>
    </row>
    <row r="118" spans="27:28" x14ac:dyDescent="0.25">
      <c r="AA118" s="697" t="s">
        <v>1346</v>
      </c>
      <c r="AB118" s="698"/>
    </row>
    <row r="119" spans="27:28" ht="30" x14ac:dyDescent="0.25">
      <c r="AA119" s="440" t="s">
        <v>1348</v>
      </c>
      <c r="AB119" s="382" t="s">
        <v>1349</v>
      </c>
    </row>
    <row r="120" spans="27:28" ht="30" x14ac:dyDescent="0.25">
      <c r="AA120" s="440" t="s">
        <v>1350</v>
      </c>
      <c r="AB120" s="382"/>
    </row>
    <row r="121" spans="27:28" x14ac:dyDescent="0.25">
      <c r="AA121" s="697" t="s">
        <v>1353</v>
      </c>
      <c r="AB121" s="698"/>
    </row>
    <row r="122" spans="27:28" x14ac:dyDescent="0.25">
      <c r="AA122" s="380"/>
      <c r="AB122" s="382"/>
    </row>
  </sheetData>
  <mergeCells count="106">
    <mergeCell ref="Y47:Z47"/>
    <mergeCell ref="AE107:AF107"/>
    <mergeCell ref="AE104:AF104"/>
    <mergeCell ref="AE97:AF97"/>
    <mergeCell ref="AE95:AF95"/>
    <mergeCell ref="AE93:AF93"/>
    <mergeCell ref="AE81:AF81"/>
    <mergeCell ref="AE73:AF73"/>
    <mergeCell ref="AE70:AF70"/>
    <mergeCell ref="AE68:AF68"/>
    <mergeCell ref="AA79:AB79"/>
    <mergeCell ref="AA75:AB75"/>
    <mergeCell ref="AA47:AB47"/>
    <mergeCell ref="AA73:AB73"/>
    <mergeCell ref="AA64:AB64"/>
    <mergeCell ref="AA58:AB58"/>
    <mergeCell ref="Y58:Z58"/>
    <mergeCell ref="Y67:Z67"/>
    <mergeCell ref="Y69:Z69"/>
    <mergeCell ref="Y72:Z72"/>
    <mergeCell ref="AC104:AD104"/>
    <mergeCell ref="AC107:AD107"/>
    <mergeCell ref="AC48:AD48"/>
    <mergeCell ref="AC59:AD59"/>
    <mergeCell ref="AA121:AB121"/>
    <mergeCell ref="AA118:AB118"/>
    <mergeCell ref="AA111:AB111"/>
    <mergeCell ref="AA109:AB109"/>
    <mergeCell ref="AA107:AB107"/>
    <mergeCell ref="AA96:AB96"/>
    <mergeCell ref="AA82:AB82"/>
    <mergeCell ref="Y80:Z80"/>
    <mergeCell ref="Y92:Z92"/>
    <mergeCell ref="Y94:Z94"/>
    <mergeCell ref="Y96:Z96"/>
    <mergeCell ref="Y103:Z103"/>
    <mergeCell ref="Y106:Z106"/>
    <mergeCell ref="AC68:AD68"/>
    <mergeCell ref="AC70:AD70"/>
    <mergeCell ref="AC73:AD73"/>
    <mergeCell ref="AC81:AD81"/>
    <mergeCell ref="AC93:AD93"/>
    <mergeCell ref="AC95:AD95"/>
    <mergeCell ref="AC97:AD97"/>
    <mergeCell ref="AE35:AF35"/>
    <mergeCell ref="AG32:AL32"/>
    <mergeCell ref="AG50:AL50"/>
    <mergeCell ref="AG58:AL58"/>
    <mergeCell ref="AG35:AH35"/>
    <mergeCell ref="AG44:AH44"/>
    <mergeCell ref="AG47:AH47"/>
    <mergeCell ref="AE48:AF48"/>
    <mergeCell ref="AE59:AF59"/>
    <mergeCell ref="K34:O34"/>
    <mergeCell ref="K37:N37"/>
    <mergeCell ref="I40:K40"/>
    <mergeCell ref="B45:W45"/>
    <mergeCell ref="Y32:Z32"/>
    <mergeCell ref="Y34:Z34"/>
    <mergeCell ref="AA32:AB32"/>
    <mergeCell ref="AA34:AB34"/>
    <mergeCell ref="AC33:AD33"/>
    <mergeCell ref="AC35:AD35"/>
    <mergeCell ref="AE4:AF4"/>
    <mergeCell ref="AC4:AD4"/>
    <mergeCell ref="AA4:AB4"/>
    <mergeCell ref="Y4:Z4"/>
    <mergeCell ref="Y18:Z18"/>
    <mergeCell ref="B22:W22"/>
    <mergeCell ref="B24:R24"/>
    <mergeCell ref="K32:O32"/>
    <mergeCell ref="K33:O33"/>
    <mergeCell ref="AE33:AF33"/>
    <mergeCell ref="AH19:AL19"/>
    <mergeCell ref="AE18:AF18"/>
    <mergeCell ref="AG20:AL20"/>
    <mergeCell ref="AC18:AD18"/>
    <mergeCell ref="B20:W20"/>
    <mergeCell ref="AA18:AB18"/>
    <mergeCell ref="B12:E12"/>
    <mergeCell ref="A11:B11"/>
    <mergeCell ref="A3:A4"/>
    <mergeCell ref="B3:B4"/>
    <mergeCell ref="C3:C4"/>
    <mergeCell ref="D3:D4"/>
    <mergeCell ref="E3:J3"/>
    <mergeCell ref="E4:G4"/>
    <mergeCell ref="N3:V3"/>
    <mergeCell ref="H4:J4"/>
    <mergeCell ref="K4:M4"/>
    <mergeCell ref="N4:P4"/>
    <mergeCell ref="Q4:S4"/>
    <mergeCell ref="T4:V4"/>
    <mergeCell ref="W3:W5"/>
    <mergeCell ref="AK6:AL6"/>
    <mergeCell ref="AH6:AJ6"/>
    <mergeCell ref="AG4:AL4"/>
    <mergeCell ref="A1:W1"/>
    <mergeCell ref="N2:W2"/>
    <mergeCell ref="H2:K2"/>
    <mergeCell ref="K3:M3"/>
    <mergeCell ref="B13:W13"/>
    <mergeCell ref="B15:W15"/>
    <mergeCell ref="B16:W16"/>
    <mergeCell ref="B18:W18"/>
    <mergeCell ref="B19:W19"/>
  </mergeCells>
  <pageMargins left="0.70000004768371604" right="0.70000004768371604" top="0.75" bottom="0.75" header="0.30000001192092901" footer="0.30000001192092901"/>
  <pageSetup paperSize="9" scale="39" orientation="portrait"/>
  <colBreaks count="1" manualBreakCount="1">
    <brk id="23" max="1048575" man="1"/>
  </colBreaks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5"/>
  <sheetViews>
    <sheetView workbookViewId="0">
      <pane xSplit="3" ySplit="7" topLeftCell="D8" activePane="bottomRight" state="frozen"/>
      <selection pane="topRight"/>
      <selection pane="bottomLeft"/>
      <selection pane="bottomRight" activeCell="D8" sqref="D8"/>
    </sheetView>
  </sheetViews>
  <sheetFormatPr defaultColWidth="8.7109375" defaultRowHeight="12.75" x14ac:dyDescent="0.25"/>
  <cols>
    <col min="1" max="1" width="8.7109375" style="2" bestFit="1" customWidth="1"/>
    <col min="2" max="2" width="8.7109375" style="2" customWidth="1"/>
    <col min="3" max="3" width="81.5703125" style="2" customWidth="1"/>
    <col min="4" max="10" width="12.85546875" style="2" customWidth="1"/>
    <col min="11" max="12" width="10.7109375" style="2" hidden="1" customWidth="1"/>
    <col min="13" max="16" width="8.7109375" style="2" hidden="1" customWidth="1"/>
    <col min="17" max="17" width="8.7109375" style="2" bestFit="1" customWidth="1"/>
    <col min="18" max="16384" width="8.7109375" style="2"/>
  </cols>
  <sheetData>
    <row r="1" spans="1:11" x14ac:dyDescent="0.25">
      <c r="A1" s="504" t="s">
        <v>34</v>
      </c>
      <c r="B1" s="504"/>
      <c r="C1" s="504"/>
      <c r="D1" s="504"/>
      <c r="E1" s="504"/>
      <c r="F1" s="504"/>
      <c r="G1" s="504"/>
      <c r="H1" s="504"/>
      <c r="I1" s="504"/>
      <c r="J1" s="504"/>
    </row>
    <row r="4" spans="1:11" x14ac:dyDescent="0.25">
      <c r="A4" s="3"/>
      <c r="B4" s="3"/>
      <c r="J4" s="3" t="s">
        <v>35</v>
      </c>
    </row>
    <row r="5" spans="1:11" ht="15" customHeight="1" x14ac:dyDescent="0.25">
      <c r="A5" s="505" t="s">
        <v>36</v>
      </c>
      <c r="B5" s="505" t="s">
        <v>37</v>
      </c>
      <c r="C5" s="508"/>
      <c r="D5" s="505" t="s">
        <v>38</v>
      </c>
      <c r="E5" s="507"/>
      <c r="F5" s="507"/>
      <c r="G5" s="507"/>
      <c r="H5" s="506"/>
      <c r="I5" s="505" t="s">
        <v>39</v>
      </c>
      <c r="J5" s="506"/>
    </row>
    <row r="6" spans="1:11" x14ac:dyDescent="0.25">
      <c r="A6" s="514"/>
      <c r="B6" s="509"/>
      <c r="C6" s="510"/>
      <c r="D6" s="5" t="s">
        <v>40</v>
      </c>
      <c r="E6" s="5" t="s">
        <v>41</v>
      </c>
      <c r="F6" s="5" t="s">
        <v>42</v>
      </c>
      <c r="G6" s="5" t="s">
        <v>43</v>
      </c>
      <c r="H6" s="5" t="s">
        <v>44</v>
      </c>
      <c r="I6" s="5" t="s">
        <v>45</v>
      </c>
      <c r="J6" s="5" t="s">
        <v>46</v>
      </c>
    </row>
    <row r="7" spans="1:11" ht="15" customHeight="1" x14ac:dyDescent="0.25">
      <c r="A7" s="5">
        <v>1</v>
      </c>
      <c r="B7" s="505">
        <v>2</v>
      </c>
      <c r="C7" s="506"/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  <c r="J7" s="5">
        <v>9</v>
      </c>
    </row>
    <row r="8" spans="1:11" ht="18" customHeight="1" x14ac:dyDescent="0.25">
      <c r="A8" s="5">
        <v>1</v>
      </c>
      <c r="B8" s="515" t="s">
        <v>47</v>
      </c>
      <c r="C8" s="516"/>
      <c r="D8" s="14">
        <f>K8*0.998</f>
        <v>41060.392125040002</v>
      </c>
      <c r="E8" s="14" t="e">
        <f>ROUND(D115*99.8%, 2)+0.01</f>
        <v>#REF!</v>
      </c>
      <c r="F8" s="14" t="e">
        <f>ROUND(E115*99.8%, 2)</f>
        <v>#REF!</v>
      </c>
      <c r="G8" s="14" t="e">
        <f>ROUND(F115*99.8%, 2)</f>
        <v>#REF!</v>
      </c>
      <c r="H8" s="14">
        <f>D8</f>
        <v>41060.392125040002</v>
      </c>
      <c r="I8" s="14" t="e">
        <f>ROUND(H115*99.8%, 2)+0.01</f>
        <v>#REF!</v>
      </c>
      <c r="J8" s="14" t="e">
        <f>ROUND(I115*99.8%, 2)</f>
        <v>#REF!</v>
      </c>
      <c r="K8" s="15">
        <f>'[1]Раздел 1'!$N$119</f>
        <v>41142.677479999998</v>
      </c>
    </row>
    <row r="9" spans="1:11" ht="18" customHeight="1" x14ac:dyDescent="0.25">
      <c r="A9" s="5">
        <v>2</v>
      </c>
      <c r="B9" s="515" t="s">
        <v>48</v>
      </c>
      <c r="C9" s="516"/>
      <c r="D9" s="14">
        <f>K8*0.002</f>
        <v>82.285354959999992</v>
      </c>
      <c r="E9" s="14" t="e">
        <f>ROUND(D115*0.2%, 2)</f>
        <v>#REF!</v>
      </c>
      <c r="F9" s="14" t="e">
        <f>ROUND(E115*0.2%, 2)</f>
        <v>#REF!</v>
      </c>
      <c r="G9" s="14" t="e">
        <f>ROUND(F115*0.2%, 2)</f>
        <v>#REF!</v>
      </c>
      <c r="H9" s="14">
        <f>D9</f>
        <v>82.285354959999992</v>
      </c>
      <c r="I9" s="14" t="e">
        <f>ROUND(H115*0.2%, 2)</f>
        <v>#REF!</v>
      </c>
      <c r="J9" s="14" t="e">
        <f>ROUND(I115*0.2%, 2)</f>
        <v>#REF!</v>
      </c>
    </row>
    <row r="10" spans="1:11" ht="18" customHeight="1" x14ac:dyDescent="0.25">
      <c r="A10" s="5"/>
      <c r="B10" s="517" t="s">
        <v>49</v>
      </c>
      <c r="C10" s="518"/>
      <c r="D10" s="14"/>
      <c r="E10" s="14"/>
      <c r="F10" s="14"/>
      <c r="G10" s="14"/>
      <c r="H10" s="14"/>
      <c r="I10" s="14"/>
      <c r="J10" s="14"/>
    </row>
    <row r="11" spans="1:11" ht="18" customHeight="1" x14ac:dyDescent="0.25">
      <c r="A11" s="505">
        <v>1</v>
      </c>
      <c r="B11" s="515" t="s">
        <v>50</v>
      </c>
      <c r="C11" s="516"/>
      <c r="D11" s="14">
        <f>D12+D16</f>
        <v>8606.4936725423722</v>
      </c>
      <c r="E11" s="14">
        <f>E12+E16</f>
        <v>3813.474833898305</v>
      </c>
      <c r="F11" s="14">
        <f>F12+F16-0.01</f>
        <v>162546.66702711862</v>
      </c>
      <c r="G11" s="14">
        <f>G12+G16</f>
        <v>4213.4989830508475</v>
      </c>
      <c r="H11" s="14">
        <f>H12+H16+0.01</f>
        <v>179180.13451661015</v>
      </c>
      <c r="I11" s="14">
        <f>I12+I16+0.01</f>
        <v>181596.99331667792</v>
      </c>
      <c r="J11" s="14">
        <f>J12+J16</f>
        <v>188679.27605602835</v>
      </c>
      <c r="K11" s="10"/>
    </row>
    <row r="12" spans="1:11" ht="18" customHeight="1" x14ac:dyDescent="0.25">
      <c r="A12" s="512"/>
      <c r="B12" s="5" t="s">
        <v>51</v>
      </c>
      <c r="C12" s="4" t="s">
        <v>13</v>
      </c>
      <c r="D12" s="14">
        <f>SUM(D13:D15)</f>
        <v>4399.5947200000001</v>
      </c>
      <c r="E12" s="14">
        <f>SUM(E13:E15)</f>
        <v>0</v>
      </c>
      <c r="F12" s="14">
        <f>SUM(F13:F15)+0.01</f>
        <v>159801.87278983049</v>
      </c>
      <c r="G12" s="14">
        <f>SUM(G13:G15)</f>
        <v>0</v>
      </c>
      <c r="H12" s="14">
        <f>SUM(H13:H15)</f>
        <v>164201.45750983048</v>
      </c>
      <c r="I12" s="14">
        <f>SUM(I13:I15)-0.01</f>
        <v>166034.12543863384</v>
      </c>
      <c r="J12" s="14">
        <f>SUM(J13:J15)</f>
        <v>172509.46672074057</v>
      </c>
      <c r="K12" s="10"/>
    </row>
    <row r="13" spans="1:11" ht="18" customHeight="1" x14ac:dyDescent="0.25">
      <c r="A13" s="512"/>
      <c r="B13" s="5" t="s">
        <v>52</v>
      </c>
      <c r="C13" s="4" t="s">
        <v>53</v>
      </c>
      <c r="D13" s="14">
        <v>0</v>
      </c>
      <c r="E13" s="14">
        <v>0</v>
      </c>
      <c r="F13" s="14">
        <f>'Р 2'!G18*1.2</f>
        <v>82186.635671186436</v>
      </c>
      <c r="G13" s="14">
        <v>0</v>
      </c>
      <c r="H13" s="14">
        <f>SUM(D13:G13)</f>
        <v>82186.635671186436</v>
      </c>
      <c r="I13" s="14">
        <f>'Р 2'!J18*1.2</f>
        <v>85391.914462362693</v>
      </c>
      <c r="J13" s="14">
        <f>'Р 2'!K18*1.2</f>
        <v>88722.199126394829</v>
      </c>
    </row>
    <row r="14" spans="1:11" ht="18" customHeight="1" x14ac:dyDescent="0.25">
      <c r="A14" s="512"/>
      <c r="B14" s="5" t="s">
        <v>54</v>
      </c>
      <c r="C14" s="4" t="s">
        <v>55</v>
      </c>
      <c r="D14" s="14">
        <v>0</v>
      </c>
      <c r="E14" s="14">
        <v>0</v>
      </c>
      <c r="F14" s="14">
        <f>'Р 2'!G19*1.2</f>
        <v>77615.227118644063</v>
      </c>
      <c r="G14" s="14">
        <v>0</v>
      </c>
      <c r="H14" s="14">
        <f>SUM(D14:G14)</f>
        <v>77615.227118644063</v>
      </c>
      <c r="I14" s="14">
        <f>'Р 2'!J19*1.2</f>
        <v>80642.220976271172</v>
      </c>
      <c r="J14" s="14">
        <f>'Р 2'!K19*1.2</f>
        <v>83787.267594345743</v>
      </c>
    </row>
    <row r="15" spans="1:11" ht="18" customHeight="1" x14ac:dyDescent="0.25">
      <c r="A15" s="512"/>
      <c r="B15" s="5" t="s">
        <v>56</v>
      </c>
      <c r="C15" s="8" t="s">
        <v>57</v>
      </c>
      <c r="D15" s="14">
        <f>'[2]Раздел 6'!$S$71</f>
        <v>4399.5947200000001</v>
      </c>
      <c r="E15" s="14">
        <v>0</v>
      </c>
      <c r="F15" s="14">
        <f>'Р 2'!G20*1.2</f>
        <v>0</v>
      </c>
      <c r="G15" s="14">
        <v>0</v>
      </c>
      <c r="H15" s="14">
        <f>SUM(D15:G15)</f>
        <v>4399.5947200000001</v>
      </c>
      <c r="I15" s="14">
        <f>'Р 2'!J20*1.2</f>
        <v>0</v>
      </c>
      <c r="J15" s="14">
        <f>'Р 2'!K20*1.2</f>
        <v>0</v>
      </c>
    </row>
    <row r="16" spans="1:11" ht="18" customHeight="1" x14ac:dyDescent="0.25">
      <c r="A16" s="514"/>
      <c r="B16" s="5" t="s">
        <v>58</v>
      </c>
      <c r="C16" s="4" t="s">
        <v>59</v>
      </c>
      <c r="D16" s="14">
        <f>'Р 2'!E22*1.2</f>
        <v>4206.8989525423731</v>
      </c>
      <c r="E16" s="14">
        <f>'Р 2'!F22*1.2</f>
        <v>3813.474833898305</v>
      </c>
      <c r="F16" s="14">
        <f>'Р 2'!G22*1.2</f>
        <v>2744.8042372881359</v>
      </c>
      <c r="G16" s="14">
        <f>'Р 2'!H22*1.2</f>
        <v>4213.4989830508475</v>
      </c>
      <c r="H16" s="14">
        <f>SUM(D16:G16)-0.01</f>
        <v>14978.66700677966</v>
      </c>
      <c r="I16" s="14">
        <f>'Р 2'!J22*1.2</f>
        <v>15562.857878044069</v>
      </c>
      <c r="J16" s="14">
        <f>'Р 2'!K22*1.2</f>
        <v>16169.809335287784</v>
      </c>
      <c r="K16" s="10"/>
    </row>
    <row r="17" spans="1:11" ht="18" customHeight="1" x14ac:dyDescent="0.25">
      <c r="A17" s="16">
        <v>2</v>
      </c>
      <c r="B17" s="515" t="s">
        <v>60</v>
      </c>
      <c r="C17" s="516"/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14">
        <v>0</v>
      </c>
      <c r="J17" s="14">
        <v>0</v>
      </c>
    </row>
    <row r="18" spans="1:11" ht="18" customHeight="1" x14ac:dyDescent="0.25">
      <c r="A18" s="505">
        <v>3</v>
      </c>
      <c r="B18" s="515" t="s">
        <v>61</v>
      </c>
      <c r="C18" s="516"/>
      <c r="D18" s="14">
        <f>SUM(D19:D20)</f>
        <v>4.4000000000000004</v>
      </c>
      <c r="E18" s="14">
        <v>0</v>
      </c>
      <c r="F18" s="14">
        <v>0</v>
      </c>
      <c r="G18" s="14">
        <v>0</v>
      </c>
      <c r="H18" s="14">
        <f>SUM(D18:G18)</f>
        <v>4.4000000000000004</v>
      </c>
      <c r="I18" s="14">
        <v>0</v>
      </c>
      <c r="J18" s="14">
        <v>0</v>
      </c>
    </row>
    <row r="19" spans="1:11" ht="18" customHeight="1" x14ac:dyDescent="0.25">
      <c r="A19" s="512"/>
      <c r="B19" s="5" t="s">
        <v>62</v>
      </c>
      <c r="C19" s="8" t="s">
        <v>63</v>
      </c>
      <c r="D19" s="14">
        <v>0</v>
      </c>
      <c r="E19" s="14">
        <v>0</v>
      </c>
      <c r="F19" s="14">
        <v>0</v>
      </c>
      <c r="G19" s="14">
        <v>0</v>
      </c>
      <c r="H19" s="14">
        <f>SUM(D19:G19)</f>
        <v>0</v>
      </c>
      <c r="I19" s="14">
        <v>0</v>
      </c>
      <c r="J19" s="14">
        <v>0</v>
      </c>
    </row>
    <row r="20" spans="1:11" ht="18" customHeight="1" x14ac:dyDescent="0.25">
      <c r="A20" s="514"/>
      <c r="B20" s="5" t="s">
        <v>64</v>
      </c>
      <c r="C20" s="8" t="s">
        <v>65</v>
      </c>
      <c r="D20" s="14">
        <f>'[2]Раздел 6'!$S$73</f>
        <v>4.4000000000000004</v>
      </c>
      <c r="E20" s="14">
        <v>0</v>
      </c>
      <c r="F20" s="14">
        <v>0</v>
      </c>
      <c r="G20" s="14">
        <v>0</v>
      </c>
      <c r="H20" s="14">
        <f>SUM(D20:G20)</f>
        <v>4.4000000000000004</v>
      </c>
      <c r="I20" s="14">
        <v>0</v>
      </c>
      <c r="J20" s="14">
        <v>0</v>
      </c>
    </row>
    <row r="21" spans="1:11" ht="18" customHeight="1" x14ac:dyDescent="0.25">
      <c r="A21" s="16">
        <v>4</v>
      </c>
      <c r="B21" s="515" t="s">
        <v>66</v>
      </c>
      <c r="C21" s="516"/>
      <c r="D21" s="14">
        <f>'Р 2'!E21*1.2+'[2]Раздел 6'!$S$72+'[2]Раздел 6'!$S$82</f>
        <v>10939.62441060022</v>
      </c>
      <c r="E21" s="14">
        <f>'Р 2'!F21*1.2</f>
        <v>2026.788607486506</v>
      </c>
      <c r="F21" s="14">
        <f>'Р 2'!G21*1.2</f>
        <v>1977.823426404666</v>
      </c>
      <c r="G21" s="14">
        <f>'Р 2'!H21*1.2</f>
        <v>2034.3581644828173</v>
      </c>
      <c r="H21" s="14">
        <f>SUM(D21:G21)</f>
        <v>16978.594608974206</v>
      </c>
      <c r="I21" s="14">
        <f>'Р 2'!J21*1.2</f>
        <v>8420.6921534019421</v>
      </c>
      <c r="J21" s="14">
        <f>'Р 2'!K21*1.2</f>
        <v>8757.0560498882242</v>
      </c>
      <c r="K21" s="10"/>
    </row>
    <row r="22" spans="1:11" ht="18" customHeight="1" x14ac:dyDescent="0.25">
      <c r="A22" s="5">
        <v>5</v>
      </c>
      <c r="B22" s="515" t="s">
        <v>67</v>
      </c>
      <c r="C22" s="516"/>
      <c r="D22" s="14">
        <v>0</v>
      </c>
      <c r="E22" s="14"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</row>
    <row r="23" spans="1:11" ht="18" customHeight="1" x14ac:dyDescent="0.25">
      <c r="A23" s="505">
        <v>6</v>
      </c>
      <c r="B23" s="515" t="s">
        <v>68</v>
      </c>
      <c r="C23" s="516"/>
      <c r="D23" s="14">
        <v>0</v>
      </c>
      <c r="E23" s="14">
        <v>0</v>
      </c>
      <c r="F23" s="14">
        <v>0</v>
      </c>
      <c r="G23" s="14">
        <v>0</v>
      </c>
      <c r="H23" s="14">
        <v>0</v>
      </c>
      <c r="I23" s="14">
        <f>I24</f>
        <v>2331.87</v>
      </c>
      <c r="J23" s="14">
        <f>J24</f>
        <v>0</v>
      </c>
    </row>
    <row r="24" spans="1:11" ht="18" customHeight="1" x14ac:dyDescent="0.25">
      <c r="A24" s="514"/>
      <c r="B24" s="5" t="s">
        <v>69</v>
      </c>
      <c r="C24" s="8" t="s">
        <v>70</v>
      </c>
      <c r="D24" s="14">
        <v>0</v>
      </c>
      <c r="E24" s="14">
        <v>0</v>
      </c>
      <c r="F24" s="14">
        <v>0</v>
      </c>
      <c r="G24" s="14">
        <v>0</v>
      </c>
      <c r="H24" s="14">
        <v>0</v>
      </c>
      <c r="I24" s="14">
        <v>2331.87</v>
      </c>
      <c r="J24" s="14">
        <v>0</v>
      </c>
    </row>
    <row r="25" spans="1:11" ht="18" customHeight="1" x14ac:dyDescent="0.25">
      <c r="A25" s="5">
        <v>7</v>
      </c>
      <c r="B25" s="515" t="s">
        <v>71</v>
      </c>
      <c r="C25" s="516"/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</row>
    <row r="26" spans="1:11" ht="18" customHeight="1" x14ac:dyDescent="0.25">
      <c r="A26" s="5">
        <v>8</v>
      </c>
      <c r="B26" s="515" t="s">
        <v>72</v>
      </c>
      <c r="C26" s="516"/>
      <c r="D26" s="14">
        <v>0</v>
      </c>
      <c r="E26" s="17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</row>
    <row r="27" spans="1:11" ht="18" customHeight="1" x14ac:dyDescent="0.25">
      <c r="A27" s="5">
        <v>9</v>
      </c>
      <c r="B27" s="515" t="s">
        <v>73</v>
      </c>
      <c r="C27" s="516"/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</row>
    <row r="28" spans="1:11" ht="18" customHeight="1" x14ac:dyDescent="0.25">
      <c r="A28" s="5">
        <v>10</v>
      </c>
      <c r="B28" s="515" t="s">
        <v>74</v>
      </c>
      <c r="C28" s="516"/>
      <c r="D28" s="14">
        <v>0</v>
      </c>
      <c r="E28" s="14">
        <v>30000</v>
      </c>
      <c r="F28" s="14">
        <v>0</v>
      </c>
      <c r="G28" s="14">
        <v>0</v>
      </c>
      <c r="H28" s="14">
        <f>SUM(D28:G28)</f>
        <v>30000</v>
      </c>
      <c r="I28" s="14">
        <v>0</v>
      </c>
      <c r="J28" s="14">
        <v>0</v>
      </c>
    </row>
    <row r="29" spans="1:11" ht="18" customHeight="1" x14ac:dyDescent="0.25">
      <c r="A29" s="505">
        <v>11</v>
      </c>
      <c r="B29" s="515" t="s">
        <v>75</v>
      </c>
      <c r="C29" s="516"/>
      <c r="D29" s="14">
        <f>SUM(D30:D33)</f>
        <v>200.72</v>
      </c>
      <c r="E29" s="14">
        <f>SUM(E30:E33)</f>
        <v>0</v>
      </c>
      <c r="F29" s="14">
        <f>SUM(F30:F33)</f>
        <v>0</v>
      </c>
      <c r="G29" s="14">
        <f>SUM(G30:G33)</f>
        <v>0</v>
      </c>
      <c r="H29" s="14">
        <f>SUM(D29:G29)</f>
        <v>200.72</v>
      </c>
      <c r="I29" s="14">
        <f>SUM(I30:I33)</f>
        <v>0</v>
      </c>
      <c r="J29" s="14">
        <f>SUM(J30:J33)</f>
        <v>0</v>
      </c>
    </row>
    <row r="30" spans="1:11" ht="18" customHeight="1" x14ac:dyDescent="0.25">
      <c r="A30" s="512"/>
      <c r="B30" s="18" t="s">
        <v>76</v>
      </c>
      <c r="C30" s="19" t="s">
        <v>77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</row>
    <row r="31" spans="1:11" ht="18" customHeight="1" x14ac:dyDescent="0.25">
      <c r="A31" s="512"/>
      <c r="B31" s="5" t="s">
        <v>78</v>
      </c>
      <c r="C31" s="19" t="s">
        <v>79</v>
      </c>
      <c r="D31" s="14"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</row>
    <row r="32" spans="1:11" ht="18" customHeight="1" x14ac:dyDescent="0.25">
      <c r="A32" s="512"/>
      <c r="B32" s="5" t="s">
        <v>80</v>
      </c>
      <c r="C32" s="19" t="s">
        <v>81</v>
      </c>
      <c r="D32" s="14">
        <f>193.47+6.93+0.32</f>
        <v>200.72</v>
      </c>
      <c r="E32" s="14">
        <v>0</v>
      </c>
      <c r="F32" s="14">
        <v>0</v>
      </c>
      <c r="G32" s="14">
        <v>0</v>
      </c>
      <c r="H32" s="14">
        <f>SUM(D32:G32)</f>
        <v>200.72</v>
      </c>
      <c r="I32" s="14">
        <v>0</v>
      </c>
      <c r="J32" s="14">
        <v>0</v>
      </c>
    </row>
    <row r="33" spans="1:13" ht="18" customHeight="1" x14ac:dyDescent="0.25">
      <c r="A33" s="514"/>
      <c r="B33" s="5" t="s">
        <v>82</v>
      </c>
      <c r="C33" s="13" t="s">
        <v>83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</row>
    <row r="34" spans="1:13" ht="18" customHeight="1" x14ac:dyDescent="0.25">
      <c r="A34" s="5"/>
      <c r="B34" s="515" t="s">
        <v>84</v>
      </c>
      <c r="C34" s="516"/>
      <c r="D34" s="14">
        <f>D11+D17+D18+D21+D22+D23+D25+D26+D27+D28+D29-0.01</f>
        <v>19751.228083142592</v>
      </c>
      <c r="E34" s="14">
        <f>E11+E17+E18+E21+E22+E23+E25+E26+E27+E28+E29</f>
        <v>35840.263441384814</v>
      </c>
      <c r="F34" s="14">
        <f>F11+F17+F18+F21+F22+F23+F25+F26+F27+F28+F29</f>
        <v>164524.49045352329</v>
      </c>
      <c r="G34" s="14">
        <f>G11+G17+G18+G21+G22+G23+G25+G26+G27+G28+G29</f>
        <v>6247.8571475336648</v>
      </c>
      <c r="H34" s="14">
        <f>H11+H17+H18+H21+H22+H23+H25+H26+H27+H28+H29-0.01</f>
        <v>226363.83912558435</v>
      </c>
      <c r="I34" s="14">
        <f>I11+I17+I18+I21+I22+I23+I25+I26+I27+I28+I29-0.01</f>
        <v>192349.54547007984</v>
      </c>
      <c r="J34" s="14">
        <f>J11+J17+J18+J21+J22+J23+J25+J26+J27+J28+J29+0.01</f>
        <v>197436.34210591658</v>
      </c>
      <c r="K34" s="10">
        <f>K12+K16+K21</f>
        <v>0</v>
      </c>
      <c r="L34" s="10">
        <f>'Р 2'!I16</f>
        <v>152398.23698632029</v>
      </c>
      <c r="M34" s="2">
        <f>L34*1.2</f>
        <v>182877.88438358434</v>
      </c>
    </row>
    <row r="35" spans="1:13" ht="18" customHeight="1" x14ac:dyDescent="0.25">
      <c r="A35" s="5"/>
      <c r="B35" s="517" t="s">
        <v>85</v>
      </c>
      <c r="C35" s="518"/>
      <c r="D35" s="14"/>
      <c r="E35" s="14"/>
      <c r="F35" s="14"/>
      <c r="G35" s="14"/>
      <c r="H35" s="14"/>
      <c r="I35" s="14"/>
      <c r="J35" s="14"/>
    </row>
    <row r="36" spans="1:13" ht="18" customHeight="1" x14ac:dyDescent="0.25">
      <c r="A36" s="505">
        <v>1</v>
      </c>
      <c r="B36" s="515" t="s">
        <v>86</v>
      </c>
      <c r="C36" s="516"/>
      <c r="D36" s="20" t="e">
        <f>SUM(D37:D42)</f>
        <v>#REF!</v>
      </c>
      <c r="E36" s="20" t="e">
        <f>SUM(E37:E42)+0.01</f>
        <v>#REF!</v>
      </c>
      <c r="F36" s="20" t="e">
        <f>SUM(F37:F42)</f>
        <v>#REF!</v>
      </c>
      <c r="G36" s="20" t="e">
        <f>SUM(G37:G42)+0.01</f>
        <v>#REF!</v>
      </c>
      <c r="H36" s="20" t="e">
        <f>SUM(D36:G36)-0.01</f>
        <v>#REF!</v>
      </c>
      <c r="I36" s="20" t="e">
        <f>SUM(I37:I43)+0.01</f>
        <v>#REF!</v>
      </c>
      <c r="J36" s="20" t="e">
        <f>SUM(J37:J43)</f>
        <v>#REF!</v>
      </c>
    </row>
    <row r="37" spans="1:13" ht="18" customHeight="1" x14ac:dyDescent="0.25">
      <c r="A37" s="512"/>
      <c r="B37" s="5" t="s">
        <v>51</v>
      </c>
      <c r="C37" s="8" t="s">
        <v>87</v>
      </c>
      <c r="D37" s="20" t="e">
        <f>('Р 3'!E99+#REF!)*0.87</f>
        <v>#REF!</v>
      </c>
      <c r="E37" s="20" t="e">
        <f>('Р 3'!F99+#REF!)*0.87</f>
        <v>#REF!</v>
      </c>
      <c r="F37" s="20" t="e">
        <f>('Р 3'!G99+#REF!)*0.87</f>
        <v>#REF!</v>
      </c>
      <c r="G37" s="20" t="e">
        <f>('Р 3'!H99+#REF!)*0.87</f>
        <v>#REF!</v>
      </c>
      <c r="H37" s="20" t="e">
        <f>SUM(D37:G37)</f>
        <v>#REF!</v>
      </c>
      <c r="I37" s="20" t="e">
        <f>('Р 3'!J99+#REF!)*0.87+0.01</f>
        <v>#REF!</v>
      </c>
      <c r="J37" s="20" t="e">
        <f>('Р 3'!K99+#REF!)*0.87+0.01</f>
        <v>#REF!</v>
      </c>
    </row>
    <row r="38" spans="1:13" ht="18" customHeight="1" x14ac:dyDescent="0.25">
      <c r="A38" s="512"/>
      <c r="B38" s="5" t="s">
        <v>58</v>
      </c>
      <c r="C38" s="8" t="s">
        <v>88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</row>
    <row r="39" spans="1:13" ht="18" customHeight="1" x14ac:dyDescent="0.25">
      <c r="A39" s="512"/>
      <c r="B39" s="5" t="s">
        <v>89</v>
      </c>
      <c r="C39" s="8" t="s">
        <v>90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</row>
    <row r="40" spans="1:13" ht="18" customHeight="1" x14ac:dyDescent="0.25">
      <c r="A40" s="512"/>
      <c r="B40" s="5" t="s">
        <v>91</v>
      </c>
      <c r="C40" s="8" t="s">
        <v>92</v>
      </c>
      <c r="D40" s="20" t="e">
        <f>('Р 3'!E99+#REF!)*0.13</f>
        <v>#REF!</v>
      </c>
      <c r="E40" s="20" t="e">
        <f>('Р 3'!F99+#REF!)*0.13</f>
        <v>#REF!</v>
      </c>
      <c r="F40" s="20" t="e">
        <f>('Р 3'!G99+#REF!)*0.13</f>
        <v>#REF!</v>
      </c>
      <c r="G40" s="20" t="e">
        <f>('Р 3'!H99+#REF!)*0.13</f>
        <v>#REF!</v>
      </c>
      <c r="H40" s="20" t="e">
        <f>SUM(D40:G40)</f>
        <v>#REF!</v>
      </c>
      <c r="I40" s="20" t="e">
        <f>('Р 3'!J99+#REF!)*0.13+0.01</f>
        <v>#REF!</v>
      </c>
      <c r="J40" s="20" t="e">
        <f>('Р 3'!K99+#REF!)*0.13+0.01</f>
        <v>#REF!</v>
      </c>
    </row>
    <row r="41" spans="1:13" ht="18" customHeight="1" x14ac:dyDescent="0.25">
      <c r="A41" s="512"/>
      <c r="B41" s="5" t="s">
        <v>93</v>
      </c>
      <c r="C41" s="8" t="s">
        <v>94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</row>
    <row r="42" spans="1:13" ht="18" customHeight="1" x14ac:dyDescent="0.25">
      <c r="A42" s="512"/>
      <c r="B42" s="5" t="s">
        <v>95</v>
      </c>
      <c r="C42" s="8" t="s">
        <v>96</v>
      </c>
      <c r="D42" s="20">
        <v>0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</row>
    <row r="43" spans="1:13" ht="18" customHeight="1" x14ac:dyDescent="0.25">
      <c r="A43" s="514"/>
      <c r="B43" s="21" t="s">
        <v>97</v>
      </c>
      <c r="C43" s="8" t="s">
        <v>98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</row>
    <row r="44" spans="1:13" ht="18" customHeight="1" x14ac:dyDescent="0.25">
      <c r="A44" s="505">
        <v>2</v>
      </c>
      <c r="B44" s="515" t="s">
        <v>99</v>
      </c>
      <c r="C44" s="516"/>
      <c r="D44" s="20" t="e">
        <f>SUM(D45:D47)</f>
        <v>#REF!</v>
      </c>
      <c r="E44" s="20" t="e">
        <f>SUM(E45:E47)</f>
        <v>#REF!</v>
      </c>
      <c r="F44" s="20" t="e">
        <f>SUM(F45:F47)</f>
        <v>#REF!</v>
      </c>
      <c r="G44" s="20" t="e">
        <f>SUM(G45:G47)</f>
        <v>#REF!</v>
      </c>
      <c r="H44" s="20" t="e">
        <f>SUM(D44:G44)</f>
        <v>#REF!</v>
      </c>
      <c r="I44" s="20" t="e">
        <f>SUM(I45:I47)</f>
        <v>#REF!</v>
      </c>
      <c r="J44" s="20" t="e">
        <f>SUM(J45:J47)</f>
        <v>#REF!</v>
      </c>
    </row>
    <row r="45" spans="1:13" ht="18" customHeight="1" x14ac:dyDescent="0.25">
      <c r="A45" s="512"/>
      <c r="B45" s="5" t="s">
        <v>100</v>
      </c>
      <c r="C45" s="8" t="s">
        <v>101</v>
      </c>
      <c r="D45" s="20" t="e">
        <f>'Р 3'!E105+#REF!</f>
        <v>#REF!</v>
      </c>
      <c r="E45" s="20" t="e">
        <f>'Р 3'!F105+#REF!</f>
        <v>#REF!</v>
      </c>
      <c r="F45" s="20" t="e">
        <f>'Р 3'!G105+#REF!</f>
        <v>#REF!</v>
      </c>
      <c r="G45" s="20" t="e">
        <f>'Р 3'!H105+#REF!</f>
        <v>#REF!</v>
      </c>
      <c r="H45" s="20" t="e">
        <f>SUM(D45:G45)</f>
        <v>#REF!</v>
      </c>
      <c r="I45" s="20" t="e">
        <f>'Р 3'!J105+#REF!</f>
        <v>#REF!</v>
      </c>
      <c r="J45" s="20" t="e">
        <f>'Р 3'!K105+#REF!</f>
        <v>#REF!</v>
      </c>
    </row>
    <row r="46" spans="1:13" ht="18" customHeight="1" x14ac:dyDescent="0.25">
      <c r="A46" s="512"/>
      <c r="B46" s="5" t="s">
        <v>102</v>
      </c>
      <c r="C46" s="8" t="s">
        <v>94</v>
      </c>
      <c r="D46" s="20">
        <v>0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</row>
    <row r="47" spans="1:13" ht="18" customHeight="1" x14ac:dyDescent="0.25">
      <c r="A47" s="514"/>
      <c r="B47" s="5" t="s">
        <v>103</v>
      </c>
      <c r="C47" s="8" t="s">
        <v>104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</row>
    <row r="48" spans="1:13" ht="18" customHeight="1" x14ac:dyDescent="0.25">
      <c r="A48" s="505">
        <v>3</v>
      </c>
      <c r="B48" s="515" t="s">
        <v>105</v>
      </c>
      <c r="C48" s="516"/>
      <c r="D48" s="20">
        <f t="shared" ref="D48:I48" si="0">D49+D53+D58+D59</f>
        <v>750.96639920000007</v>
      </c>
      <c r="E48" s="20">
        <f t="shared" si="0"/>
        <v>20811.0805468</v>
      </c>
      <c r="F48" s="20">
        <f t="shared" si="0"/>
        <v>28142.975448367997</v>
      </c>
      <c r="G48" s="20">
        <f t="shared" si="0"/>
        <v>806.79502000000002</v>
      </c>
      <c r="H48" s="20">
        <f t="shared" si="0"/>
        <v>50511.827414367996</v>
      </c>
      <c r="I48" s="20">
        <f t="shared" si="0"/>
        <v>48649.143152865079</v>
      </c>
      <c r="J48" s="20">
        <f>J49+J53+J58+J59-0.01</f>
        <v>50595.675286949809</v>
      </c>
    </row>
    <row r="49" spans="1:10" ht="18" customHeight="1" x14ac:dyDescent="0.25">
      <c r="A49" s="512"/>
      <c r="B49" s="5" t="s">
        <v>62</v>
      </c>
      <c r="C49" s="8" t="s">
        <v>106</v>
      </c>
      <c r="D49" s="20">
        <f t="shared" ref="D49:J49" si="1">SUM(D50:D52)</f>
        <v>0</v>
      </c>
      <c r="E49" s="20">
        <f t="shared" si="1"/>
        <v>17985.247223999999</v>
      </c>
      <c r="F49" s="20">
        <f t="shared" si="1"/>
        <v>16485.629999999997</v>
      </c>
      <c r="G49" s="20">
        <f t="shared" si="1"/>
        <v>0</v>
      </c>
      <c r="H49" s="20">
        <f t="shared" si="1"/>
        <v>34470.877223999996</v>
      </c>
      <c r="I49" s="20">
        <f t="shared" si="1"/>
        <v>35857.190080151995</v>
      </c>
      <c r="J49" s="20">
        <f t="shared" si="1"/>
        <v>37299.720921875487</v>
      </c>
    </row>
    <row r="50" spans="1:10" ht="18" customHeight="1" x14ac:dyDescent="0.25">
      <c r="A50" s="512"/>
      <c r="B50" s="5" t="s">
        <v>107</v>
      </c>
      <c r="C50" s="8" t="s">
        <v>108</v>
      </c>
      <c r="D50" s="20">
        <v>0</v>
      </c>
      <c r="E50" s="20">
        <f>'Р 3'!G7*1.2</f>
        <v>1499.6172239999999</v>
      </c>
      <c r="F50" s="20">
        <v>0</v>
      </c>
      <c r="G50" s="20">
        <v>0</v>
      </c>
      <c r="H50" s="20">
        <f>SUM(D50:G50)</f>
        <v>1499.6172239999999</v>
      </c>
      <c r="I50" s="20">
        <f>'Р 3'!J7*1.2</f>
        <v>1534.1084201519998</v>
      </c>
      <c r="J50" s="20">
        <f>'Р 3'!K7*1.2</f>
        <v>1569.3929138154956</v>
      </c>
    </row>
    <row r="51" spans="1:10" ht="18" customHeight="1" x14ac:dyDescent="0.25">
      <c r="A51" s="512"/>
      <c r="B51" s="5" t="s">
        <v>109</v>
      </c>
      <c r="C51" s="8" t="s">
        <v>110</v>
      </c>
      <c r="D51" s="20">
        <v>0</v>
      </c>
      <c r="E51" s="20">
        <f>'Р 3'!G8*1.2*0.5</f>
        <v>16485.629999999997</v>
      </c>
      <c r="F51" s="20">
        <f>'Р 3'!G8*1.2*0.5</f>
        <v>16485.629999999997</v>
      </c>
      <c r="G51" s="20">
        <v>0</v>
      </c>
      <c r="H51" s="20">
        <f>SUM(D51:G51)</f>
        <v>32971.259999999995</v>
      </c>
      <c r="I51" s="20">
        <f>'Р 3'!J8*1.2</f>
        <v>34323.081659999996</v>
      </c>
      <c r="J51" s="20">
        <f>'Р 3'!K8*1.2</f>
        <v>35730.328008059994</v>
      </c>
    </row>
    <row r="52" spans="1:10" ht="18" customHeight="1" x14ac:dyDescent="0.25">
      <c r="A52" s="512"/>
      <c r="B52" s="5" t="s">
        <v>111</v>
      </c>
      <c r="C52" s="8" t="s">
        <v>112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</row>
    <row r="53" spans="1:10" ht="18" customHeight="1" x14ac:dyDescent="0.25">
      <c r="A53" s="512"/>
      <c r="B53" s="5" t="s">
        <v>64</v>
      </c>
      <c r="C53" s="8" t="s">
        <v>113</v>
      </c>
      <c r="D53" s="20">
        <f>SUM(D54:D57)-0.01</f>
        <v>650.96639920000007</v>
      </c>
      <c r="E53" s="20">
        <f>SUM(E54:E57)</f>
        <v>2025.8333228000001</v>
      </c>
      <c r="F53" s="20">
        <f>SUM(F54:F57)</f>
        <v>8837.3454483679998</v>
      </c>
      <c r="G53" s="20">
        <f>SUM(G54:G57)</f>
        <v>806.79502000000002</v>
      </c>
      <c r="H53" s="20">
        <f>SUM(H54:H57)</f>
        <v>12320.950190367999</v>
      </c>
      <c r="I53" s="20">
        <f>SUM(I54:I57)</f>
        <v>12791.953072713086</v>
      </c>
      <c r="J53" s="20">
        <f>SUM(J54:J57)-0.01</f>
        <v>13295.964365074322</v>
      </c>
    </row>
    <row r="54" spans="1:10" ht="18" customHeight="1" x14ac:dyDescent="0.25">
      <c r="A54" s="512"/>
      <c r="B54" s="5" t="s">
        <v>114</v>
      </c>
      <c r="C54" s="8" t="s">
        <v>115</v>
      </c>
      <c r="D54" s="20">
        <f>('Р 3'!E57+'Р 3'!E63)*1.2</f>
        <v>313.68211919999999</v>
      </c>
      <c r="E54" s="20">
        <f>('Р 3'!F57+'Р 3'!F63)*1.2</f>
        <v>284.52777839999999</v>
      </c>
      <c r="F54" s="20">
        <f>('Р 3'!G57+'Р 3'!G63)*1.2</f>
        <v>4988.0857783679994</v>
      </c>
      <c r="G54" s="20">
        <f>('Р 3'!H57+'Р 3'!H63)*1.2</f>
        <v>329.76978000000003</v>
      </c>
      <c r="H54" s="20">
        <f>SUM(D54:G54)</f>
        <v>5916.0654559679988</v>
      </c>
      <c r="I54" s="20">
        <f>('Р 3'!J57+'Р 3'!J63)*1.2</f>
        <v>6158.6116476626867</v>
      </c>
      <c r="J54" s="20">
        <f>('Р 3'!K57+'Р 3'!K63)*1.2</f>
        <v>6411.1147252168566</v>
      </c>
    </row>
    <row r="55" spans="1:10" ht="18" customHeight="1" x14ac:dyDescent="0.25">
      <c r="A55" s="512"/>
      <c r="B55" s="5" t="s">
        <v>116</v>
      </c>
      <c r="C55" s="8" t="s">
        <v>117</v>
      </c>
      <c r="D55" s="20">
        <v>0</v>
      </c>
      <c r="E55" s="20">
        <f>'Р 3'!G15*1.2</f>
        <v>652.1223743999999</v>
      </c>
      <c r="F55" s="20">
        <v>0</v>
      </c>
      <c r="G55" s="20">
        <v>0</v>
      </c>
      <c r="H55" s="20">
        <f>SUM(D55:G55)</f>
        <v>652.1223743999999</v>
      </c>
      <c r="I55" s="20">
        <f>'Р 3'!J15*1.2</f>
        <v>678.85939175039982</v>
      </c>
      <c r="J55" s="20">
        <f>'Р 3'!K15*1.2</f>
        <v>706.69262681216617</v>
      </c>
    </row>
    <row r="56" spans="1:10" ht="18" customHeight="1" x14ac:dyDescent="0.25">
      <c r="A56" s="512"/>
      <c r="B56" s="5" t="s">
        <v>118</v>
      </c>
      <c r="C56" s="8" t="s">
        <v>119</v>
      </c>
      <c r="D56" s="20">
        <v>0</v>
      </c>
      <c r="E56" s="20">
        <v>0</v>
      </c>
      <c r="F56" s="20">
        <f>'Р 3'!G54*1.2</f>
        <v>207.648</v>
      </c>
      <c r="G56" s="20">
        <v>0</v>
      </c>
      <c r="H56" s="20">
        <f>SUM(D56:G56)</f>
        <v>207.648</v>
      </c>
      <c r="I56" s="20">
        <f>'Р 3'!J54*1.2</f>
        <v>213.87744000000001</v>
      </c>
      <c r="J56" s="20">
        <f>'Р 3'!K54*1.2</f>
        <v>220.2937632</v>
      </c>
    </row>
    <row r="57" spans="1:10" ht="59.25" customHeight="1" x14ac:dyDescent="0.25">
      <c r="A57" s="512"/>
      <c r="B57" s="5" t="s">
        <v>120</v>
      </c>
      <c r="C57" s="4" t="s">
        <v>121</v>
      </c>
      <c r="D57" s="20">
        <f>'Р 3'!E11+'Р 3'!E16+'Р 3'!E22+'Р 3'!E26+'Р 3'!E33+'Р 3'!E39+'Р 3'!E44+'Р 3'!E48</f>
        <v>337.29428000000001</v>
      </c>
      <c r="E57" s="20">
        <f>'Р 3'!F11+'Р 3'!F16+'Р 3'!F22+'Р 3'!F26+'Р 3'!F33+'Р 3'!F39+'Р 3'!F44+'Р 3'!F48+'Р 3'!F55</f>
        <v>1089.1831700000002</v>
      </c>
      <c r="F57" s="20">
        <f>'Р 3'!G11+'Р 3'!G16+'Р 3'!G22+'Р 3'!G26+'Р 3'!G33+'Р 3'!G39+'Р 3'!G44+'Р 3'!G48+'Р 3'!G55</f>
        <v>3641.6116699999998</v>
      </c>
      <c r="G57" s="20">
        <f>'Р 3'!H11+'Р 3'!H16+'Р 3'!H22+'Р 3'!H26+'Р 3'!H33+'Р 3'!H39+'Р 3'!H44+'Р 3'!H48+'Р 3'!H55</f>
        <v>477.02524</v>
      </c>
      <c r="H57" s="20">
        <f>SUM(D57:G57)</f>
        <v>5545.1143600000005</v>
      </c>
      <c r="I57" s="20">
        <f>'Р 3'!J11+'Р 3'!J16+'Р 3'!J22+'Р 3'!J26+'Р 3'!J33+'Р 3'!J39+'Р 3'!J44+'Р 3'!J48+'Р 3'!J55</f>
        <v>5740.6045932999996</v>
      </c>
      <c r="J57" s="20">
        <f>'Р 3'!K11+'Р 3'!K16+'Р 3'!K22+'Р 3'!K26+'Р 3'!K33+'Р 3'!K39+'Р 3'!K44+'Р 3'!K48+'Р 3'!K55</f>
        <v>5957.8732498453001</v>
      </c>
    </row>
    <row r="58" spans="1:10" ht="18" customHeight="1" x14ac:dyDescent="0.25">
      <c r="A58" s="512"/>
      <c r="B58" s="5" t="s">
        <v>122</v>
      </c>
      <c r="C58" s="8" t="s">
        <v>123</v>
      </c>
      <c r="D58" s="20">
        <v>0</v>
      </c>
      <c r="E58" s="20">
        <v>0</v>
      </c>
      <c r="F58" s="20">
        <v>0</v>
      </c>
      <c r="G58" s="20">
        <v>0</v>
      </c>
      <c r="H58" s="20">
        <v>0</v>
      </c>
      <c r="I58" s="20">
        <v>0</v>
      </c>
      <c r="J58" s="20">
        <v>0</v>
      </c>
    </row>
    <row r="59" spans="1:10" ht="18" customHeight="1" x14ac:dyDescent="0.25">
      <c r="A59" s="514"/>
      <c r="B59" s="5" t="s">
        <v>124</v>
      </c>
      <c r="C59" s="8" t="s">
        <v>125</v>
      </c>
      <c r="D59" s="20">
        <v>100</v>
      </c>
      <c r="E59" s="20">
        <f>300+500</f>
        <v>800</v>
      </c>
      <c r="F59" s="14">
        <v>2820</v>
      </c>
      <c r="G59" s="14">
        <v>0</v>
      </c>
      <c r="H59" s="20">
        <f>SUM(D59:G59)</f>
        <v>3720</v>
      </c>
      <c r="I59" s="20">
        <f>0</f>
        <v>0</v>
      </c>
      <c r="J59" s="20">
        <v>0</v>
      </c>
    </row>
    <row r="60" spans="1:10" ht="18" customHeight="1" x14ac:dyDescent="0.25">
      <c r="A60" s="511">
        <v>4</v>
      </c>
      <c r="B60" s="515" t="s">
        <v>126</v>
      </c>
      <c r="C60" s="516"/>
      <c r="D60" s="20">
        <f t="shared" ref="D60:J60" si="2">D61+D62+D63+D72</f>
        <v>1320.001</v>
      </c>
      <c r="E60" s="20">
        <f t="shared" si="2"/>
        <v>12763.34605</v>
      </c>
      <c r="F60" s="20">
        <f t="shared" si="2"/>
        <v>5550.7590499999997</v>
      </c>
      <c r="G60" s="20">
        <f t="shared" si="2"/>
        <v>401.64904999999999</v>
      </c>
      <c r="H60" s="20">
        <f t="shared" si="2"/>
        <v>20035.755150000001</v>
      </c>
      <c r="I60" s="20">
        <f t="shared" si="2"/>
        <v>10126.115459819999</v>
      </c>
      <c r="J60" s="20">
        <f t="shared" si="2"/>
        <v>10338.677810752979</v>
      </c>
    </row>
    <row r="61" spans="1:10" ht="18" customHeight="1" x14ac:dyDescent="0.25">
      <c r="A61" s="512"/>
      <c r="B61" s="5" t="s">
        <v>127</v>
      </c>
      <c r="C61" s="8" t="s">
        <v>128</v>
      </c>
      <c r="D61" s="20">
        <f>'Р 3'!E119+'Р 3'!E124+'Р 3'!T128</f>
        <v>1200</v>
      </c>
      <c r="E61" s="20">
        <f>'Р 3'!F119+'Р 3'!F124+'Р 3'!U121+'Р 3'!U126+'Р 3'!U127+'Р 3'!U128</f>
        <v>7656.9830000000002</v>
      </c>
      <c r="F61" s="20">
        <f>'Р 3'!G119+'Р 3'!G124</f>
        <v>2213.136</v>
      </c>
      <c r="G61" s="20">
        <f>'Р 3'!H119+'Р 3'!H124</f>
        <v>0</v>
      </c>
      <c r="H61" s="20">
        <f>SUM(D61:G61)</f>
        <v>11070.119000000001</v>
      </c>
      <c r="I61" s="20">
        <f>('Р 3'!J119+'Р 3'!J124)*1.2</f>
        <v>3600</v>
      </c>
      <c r="J61" s="20">
        <f>('Р 3'!K119+'Р 3'!K124)*1.2</f>
        <v>3600</v>
      </c>
    </row>
    <row r="62" spans="1:10" ht="18" customHeight="1" x14ac:dyDescent="0.25">
      <c r="A62" s="512"/>
      <c r="B62" s="5" t="s">
        <v>129</v>
      </c>
      <c r="C62" s="8" t="s">
        <v>130</v>
      </c>
      <c r="D62" s="20">
        <v>0</v>
      </c>
      <c r="E62" s="20">
        <v>0</v>
      </c>
      <c r="F62" s="20">
        <v>0</v>
      </c>
      <c r="G62" s="20">
        <v>0</v>
      </c>
      <c r="H62" s="20">
        <v>0</v>
      </c>
      <c r="I62" s="20">
        <v>0</v>
      </c>
      <c r="J62" s="20">
        <v>0</v>
      </c>
    </row>
    <row r="63" spans="1:10" ht="18" customHeight="1" x14ac:dyDescent="0.25">
      <c r="A63" s="512"/>
      <c r="B63" s="5" t="s">
        <v>131</v>
      </c>
      <c r="C63" s="8" t="s">
        <v>132</v>
      </c>
      <c r="D63" s="20">
        <f>D64+D65</f>
        <v>120</v>
      </c>
      <c r="E63" s="20">
        <f>E64+E65</f>
        <v>4707.3360000000002</v>
      </c>
      <c r="F63" s="20">
        <f>F64+F65</f>
        <v>3234.174</v>
      </c>
      <c r="G63" s="20">
        <f>G64+G65</f>
        <v>300</v>
      </c>
      <c r="H63" s="20">
        <f>SUM(D63:G63)</f>
        <v>8361.51</v>
      </c>
      <c r="I63" s="20">
        <f>I64+I65</f>
        <v>5223.2791079999997</v>
      </c>
      <c r="J63" s="20">
        <f>J64+J65</f>
        <v>5447.3708412119995</v>
      </c>
    </row>
    <row r="64" spans="1:10" ht="18" customHeight="1" x14ac:dyDescent="0.25">
      <c r="A64" s="512"/>
      <c r="B64" s="5" t="s">
        <v>133</v>
      </c>
      <c r="C64" s="22" t="s">
        <v>134</v>
      </c>
      <c r="D64" s="20">
        <f>'Р 3'!E196*1.2</f>
        <v>120</v>
      </c>
      <c r="E64" s="20">
        <f>'Р 3'!F196*1.2</f>
        <v>3240</v>
      </c>
      <c r="F64" s="20">
        <f>'Р 3'!G196</f>
        <v>500</v>
      </c>
      <c r="G64" s="20">
        <f>'Р 3'!H196</f>
        <v>300</v>
      </c>
      <c r="H64" s="20">
        <f>SUM(D64:G64)</f>
        <v>4160</v>
      </c>
      <c r="I64" s="20">
        <f>'Р 3'!J196</f>
        <v>800</v>
      </c>
      <c r="J64" s="20">
        <f>'Р 3'!K196</f>
        <v>800</v>
      </c>
    </row>
    <row r="65" spans="1:13" ht="18" customHeight="1" x14ac:dyDescent="0.25">
      <c r="A65" s="512"/>
      <c r="B65" s="5" t="s">
        <v>135</v>
      </c>
      <c r="C65" s="22" t="s">
        <v>136</v>
      </c>
      <c r="D65" s="20">
        <f>SUM(D66:D71)</f>
        <v>0</v>
      </c>
      <c r="E65" s="20">
        <f>SUM(E66:E71)</f>
        <v>1467.336</v>
      </c>
      <c r="F65" s="20">
        <f>SUM(F66:F71)</f>
        <v>2734.174</v>
      </c>
      <c r="G65" s="20">
        <f>SUM(G66:G71)</f>
        <v>0</v>
      </c>
      <c r="H65" s="20">
        <f>SUM(D65:G65)</f>
        <v>4201.51</v>
      </c>
      <c r="I65" s="20">
        <f>SUM(I66:I71)</f>
        <v>4423.2791079999997</v>
      </c>
      <c r="J65" s="20">
        <f>SUM(J66:J71)</f>
        <v>4647.3708412119995</v>
      </c>
    </row>
    <row r="66" spans="1:13" ht="18" customHeight="1" x14ac:dyDescent="0.25">
      <c r="A66" s="512"/>
      <c r="B66" s="5" t="s">
        <v>137</v>
      </c>
      <c r="C66" s="23" t="s">
        <v>138</v>
      </c>
      <c r="D66" s="20">
        <f>'Р 3'!E205</f>
        <v>0</v>
      </c>
      <c r="E66" s="20">
        <f>'Р 3'!F205</f>
        <v>1172.25</v>
      </c>
      <c r="F66" s="20">
        <f>'Р 3'!G205</f>
        <v>1000</v>
      </c>
      <c r="G66" s="20">
        <f>'Р 3'!H205</f>
        <v>0</v>
      </c>
      <c r="H66" s="20">
        <f>SUM(D66:G66)</f>
        <v>2172.25</v>
      </c>
      <c r="I66" s="20">
        <f>'Р 3'!J205</f>
        <v>2298.2405000000003</v>
      </c>
      <c r="J66" s="20">
        <f>'Р 3'!K205</f>
        <v>2424.6437275000003</v>
      </c>
    </row>
    <row r="67" spans="1:13" ht="18" customHeight="1" x14ac:dyDescent="0.25">
      <c r="A67" s="512"/>
      <c r="B67" s="1" t="s">
        <v>139</v>
      </c>
      <c r="C67" s="8" t="s">
        <v>140</v>
      </c>
      <c r="D67" s="20">
        <f>'Р 3'!E209</f>
        <v>0</v>
      </c>
      <c r="E67" s="20">
        <v>0</v>
      </c>
      <c r="F67" s="20">
        <f>'Р 3'!G209</f>
        <v>875</v>
      </c>
      <c r="G67" s="20">
        <v>0</v>
      </c>
      <c r="H67" s="20">
        <f>SUM(D67:G67)</f>
        <v>875</v>
      </c>
      <c r="I67" s="20">
        <f>'Р 3'!J209</f>
        <v>925.75</v>
      </c>
      <c r="J67" s="20">
        <f>'Р 3'!K209</f>
        <v>976.66624999999999</v>
      </c>
    </row>
    <row r="68" spans="1:13" ht="18" customHeight="1" x14ac:dyDescent="0.25">
      <c r="A68" s="512"/>
      <c r="B68" s="5" t="s">
        <v>141</v>
      </c>
      <c r="C68" s="23" t="s">
        <v>142</v>
      </c>
      <c r="D68" s="20">
        <v>0</v>
      </c>
      <c r="E68" s="20">
        <v>0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</row>
    <row r="69" spans="1:13" ht="18" customHeight="1" x14ac:dyDescent="0.25">
      <c r="A69" s="512"/>
      <c r="B69" s="5" t="s">
        <v>143</v>
      </c>
      <c r="C69" s="23" t="s">
        <v>144</v>
      </c>
      <c r="D69" s="20">
        <f>'Р 3'!E212</f>
        <v>0</v>
      </c>
      <c r="E69" s="20">
        <v>0</v>
      </c>
      <c r="F69" s="20">
        <f>'Р 3'!G212</f>
        <v>400</v>
      </c>
      <c r="G69" s="20">
        <v>0</v>
      </c>
      <c r="H69" s="20">
        <f>SUM(D69:G69)</f>
        <v>400</v>
      </c>
      <c r="I69" s="20">
        <f>'Р 3'!J212</f>
        <v>415.59999999999997</v>
      </c>
      <c r="J69" s="20">
        <f>'Р 3'!K212</f>
        <v>431.80839999999995</v>
      </c>
    </row>
    <row r="70" spans="1:13" ht="18" customHeight="1" x14ac:dyDescent="0.25">
      <c r="A70" s="512"/>
      <c r="B70" s="5" t="s">
        <v>145</v>
      </c>
      <c r="C70" s="23" t="s">
        <v>146</v>
      </c>
      <c r="D70" s="20">
        <f>'Р 3'!E217</f>
        <v>0</v>
      </c>
      <c r="E70" s="20">
        <f>'Р 3'!F217*1.2</f>
        <v>295.08600000000001</v>
      </c>
      <c r="F70" s="20">
        <f>'Р 3'!G217*1.2</f>
        <v>459.17399999999998</v>
      </c>
      <c r="G70" s="20">
        <f>'Р 3'!H217</f>
        <v>0</v>
      </c>
      <c r="H70" s="20">
        <f>SUM(D70:G70)</f>
        <v>754.26</v>
      </c>
      <c r="I70" s="20">
        <f>'Р 3'!J217*1.2</f>
        <v>783.68860799999982</v>
      </c>
      <c r="J70" s="20">
        <f>'Р 3'!K217*1.2</f>
        <v>814.25246371199978</v>
      </c>
    </row>
    <row r="71" spans="1:13" ht="18" customHeight="1" x14ac:dyDescent="0.25">
      <c r="A71" s="512"/>
      <c r="B71" s="5" t="s">
        <v>147</v>
      </c>
      <c r="C71" s="23" t="s">
        <v>148</v>
      </c>
      <c r="D71" s="20">
        <v>0</v>
      </c>
      <c r="E71" s="20">
        <v>0</v>
      </c>
      <c r="F71" s="20">
        <v>0</v>
      </c>
      <c r="G71" s="20">
        <v>0</v>
      </c>
      <c r="H71" s="20">
        <v>0</v>
      </c>
      <c r="I71" s="20">
        <v>0</v>
      </c>
      <c r="J71" s="20">
        <v>0</v>
      </c>
    </row>
    <row r="72" spans="1:13" ht="18" customHeight="1" x14ac:dyDescent="0.25">
      <c r="A72" s="512"/>
      <c r="B72" s="5" t="s">
        <v>149</v>
      </c>
      <c r="C72" s="8" t="s">
        <v>150</v>
      </c>
      <c r="D72" s="20">
        <f>D73</f>
        <v>9.9999999997635314E-4</v>
      </c>
      <c r="E72" s="20">
        <f>E73</f>
        <v>399.02705000000009</v>
      </c>
      <c r="F72" s="20">
        <f>F73</f>
        <v>103.44905</v>
      </c>
      <c r="G72" s="20">
        <f>G73</f>
        <v>101.64905</v>
      </c>
      <c r="H72" s="20">
        <f>SUM(D72:G72)</f>
        <v>604.12615000000005</v>
      </c>
      <c r="I72" s="20">
        <f>I73</f>
        <v>1302.8363518199999</v>
      </c>
      <c r="J72" s="20">
        <f>J73</f>
        <v>1291.3069695409799</v>
      </c>
    </row>
    <row r="73" spans="1:13" ht="29.25" customHeight="1" x14ac:dyDescent="0.25">
      <c r="A73" s="513"/>
      <c r="B73" s="5" t="s">
        <v>151</v>
      </c>
      <c r="C73" s="4" t="s">
        <v>152</v>
      </c>
      <c r="D73" s="20">
        <f>'Р 3'!E136-266.12</f>
        <v>9.9999999997635314E-4</v>
      </c>
      <c r="E73" s="20">
        <f>'Р 3'!F136-54.39</f>
        <v>399.02705000000009</v>
      </c>
      <c r="F73" s="20">
        <f>'Р 3'!G136</f>
        <v>103.44905</v>
      </c>
      <c r="G73" s="20">
        <f>'Р 3'!H136</f>
        <v>101.64905</v>
      </c>
      <c r="H73" s="20">
        <f>SUM(D73:G73)</f>
        <v>604.12615000000005</v>
      </c>
      <c r="I73" s="20">
        <f>'Р 3'!J136*1.2</f>
        <v>1302.8363518199999</v>
      </c>
      <c r="J73" s="20">
        <f>'Р 3'!K136*1.2</f>
        <v>1291.3069695409799</v>
      </c>
      <c r="K73" s="2">
        <v>320.51</v>
      </c>
      <c r="L73" s="2">
        <v>266.12</v>
      </c>
      <c r="M73" s="2">
        <f>K73-L73</f>
        <v>54.389999999999986</v>
      </c>
    </row>
    <row r="74" spans="1:13" ht="18" customHeight="1" x14ac:dyDescent="0.25">
      <c r="A74" s="505">
        <v>5</v>
      </c>
      <c r="B74" s="515" t="s">
        <v>153</v>
      </c>
      <c r="C74" s="516"/>
      <c r="D74" s="20">
        <f>SUM(D75:D77)</f>
        <v>1658.6468676480001</v>
      </c>
      <c r="E74" s="20">
        <f>SUM(E75:E77)</f>
        <v>961.85315103599987</v>
      </c>
      <c r="F74" s="20">
        <f>SUM(F75:F77)</f>
        <v>528.02492133751207</v>
      </c>
      <c r="G74" s="20">
        <f>SUM(G75:G77)</f>
        <v>996.04871419598408</v>
      </c>
      <c r="H74" s="20">
        <f>SUM(D74:G74)</f>
        <v>4144.5736542174955</v>
      </c>
      <c r="I74" s="20">
        <f>SUM(I75:I77)</f>
        <v>4002.0795904845836</v>
      </c>
      <c r="J74" s="20">
        <f>SUM(J75:J77)</f>
        <v>4201.3503107274737</v>
      </c>
      <c r="K74" s="10"/>
    </row>
    <row r="75" spans="1:13" ht="18" customHeight="1" x14ac:dyDescent="0.25">
      <c r="A75" s="512"/>
      <c r="B75" s="5" t="s">
        <v>154</v>
      </c>
      <c r="C75" s="8" t="s">
        <v>101</v>
      </c>
      <c r="D75" s="20">
        <f>('Р 3'!E74+'Р 3'!E87+'Р 3'!E271+'Р 3'!E283+'Р 3'!E295)*1.2+332.25</f>
        <v>1658.6468676480001</v>
      </c>
      <c r="E75" s="20">
        <f>('Р 3'!F295+'Р 3'!F283+'Р 3'!F271+'Р 3'!F87+'Р 3'!F74)*1.2</f>
        <v>961.85315103599987</v>
      </c>
      <c r="F75" s="20">
        <f>('Р 3'!G74+'Р 3'!G87+'Р 3'!G271+'Р 3'!G283+'Р 3'!G295)*1.2</f>
        <v>528.02492133751207</v>
      </c>
      <c r="G75" s="20">
        <f>('Р 3'!H295+'Р 3'!H283+'Р 3'!H271+'Р 3'!H87+'Р 3'!H74)*1.2</f>
        <v>996.04871419598408</v>
      </c>
      <c r="H75" s="20">
        <f>SUM(D75:G75)</f>
        <v>4144.5736542174955</v>
      </c>
      <c r="I75" s="20">
        <f>('Р 3'!J74+'Р 3'!J87+'Р 3'!J271+'Р 3'!J283+'Р 3'!J295)*1.2</f>
        <v>4002.0795904845836</v>
      </c>
      <c r="J75" s="20">
        <f>('Р 3'!K74+'Р 3'!K87+'Р 3'!K271+'Р 3'!K283+'Р 3'!K295)*1.2</f>
        <v>4201.3503107274737</v>
      </c>
    </row>
    <row r="76" spans="1:13" ht="18" customHeight="1" x14ac:dyDescent="0.25">
      <c r="A76" s="512"/>
      <c r="B76" s="5" t="s">
        <v>155</v>
      </c>
      <c r="C76" s="8" t="s">
        <v>94</v>
      </c>
      <c r="D76" s="20">
        <v>0</v>
      </c>
      <c r="E76" s="20">
        <v>0</v>
      </c>
      <c r="F76" s="20">
        <v>0</v>
      </c>
      <c r="G76" s="20">
        <v>0</v>
      </c>
      <c r="H76" s="20">
        <v>0</v>
      </c>
      <c r="I76" s="20">
        <v>0</v>
      </c>
      <c r="J76" s="20">
        <v>0</v>
      </c>
    </row>
    <row r="77" spans="1:13" ht="18" customHeight="1" x14ac:dyDescent="0.25">
      <c r="A77" s="514"/>
      <c r="B77" s="5" t="s">
        <v>156</v>
      </c>
      <c r="C77" s="8" t="s">
        <v>104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20">
        <v>0</v>
      </c>
      <c r="J77" s="20">
        <v>0</v>
      </c>
    </row>
    <row r="78" spans="1:13" ht="18" customHeight="1" x14ac:dyDescent="0.25">
      <c r="A78" s="511">
        <v>6</v>
      </c>
      <c r="B78" s="515" t="s">
        <v>157</v>
      </c>
      <c r="C78" s="516"/>
      <c r="D78" s="20">
        <f t="shared" ref="D78:J78" si="3">D79+D87+D88</f>
        <v>10307.795895050846</v>
      </c>
      <c r="E78" s="20">
        <f t="shared" si="3"/>
        <v>2334.6213831546002</v>
      </c>
      <c r="F78" s="20">
        <f t="shared" si="3"/>
        <v>565.95677891999992</v>
      </c>
      <c r="G78" s="20">
        <f t="shared" si="3"/>
        <v>19041.882945877758</v>
      </c>
      <c r="H78" s="20">
        <f t="shared" si="3"/>
        <v>32250.2570030032</v>
      </c>
      <c r="I78" s="20" t="e">
        <f t="shared" si="3"/>
        <v>#REF!</v>
      </c>
      <c r="J78" s="20" t="e">
        <f t="shared" si="3"/>
        <v>#REF!</v>
      </c>
    </row>
    <row r="79" spans="1:13" ht="18" customHeight="1" x14ac:dyDescent="0.25">
      <c r="A79" s="512"/>
      <c r="B79" s="5" t="s">
        <v>69</v>
      </c>
      <c r="C79" s="8" t="s">
        <v>158</v>
      </c>
      <c r="D79" s="20">
        <f>SUM(D80:D86)-0.01</f>
        <v>10307.795895050846</v>
      </c>
      <c r="E79" s="20">
        <f>SUM(E80:E86)+0.01</f>
        <v>2334.6213831546002</v>
      </c>
      <c r="F79" s="20">
        <f>SUM(F80:F86)</f>
        <v>565.95677891999992</v>
      </c>
      <c r="G79" s="20">
        <f>SUM(G80:G86)</f>
        <v>19041.882945877758</v>
      </c>
      <c r="H79" s="20">
        <f t="shared" ref="H79:H86" si="4">SUM(D79:G79)</f>
        <v>32250.2570030032</v>
      </c>
      <c r="I79" s="20" t="e">
        <f>SUM(I80:I86)</f>
        <v>#REF!</v>
      </c>
      <c r="J79" s="20" t="e">
        <f>SUM(J80:J86)-0.01</f>
        <v>#REF!</v>
      </c>
    </row>
    <row r="80" spans="1:13" ht="18" customHeight="1" x14ac:dyDescent="0.25">
      <c r="A80" s="512"/>
      <c r="B80" s="12" t="s">
        <v>159</v>
      </c>
      <c r="C80" s="8" t="s">
        <v>160</v>
      </c>
      <c r="D80" s="20">
        <f>'Р 3'!E132</f>
        <v>2.4700000000000002</v>
      </c>
      <c r="E80" s="20">
        <f>'Р 3'!F132</f>
        <v>2.4700000000000002</v>
      </c>
      <c r="F80" s="20">
        <f>'Р 3'!G132</f>
        <v>2.4700000000000002</v>
      </c>
      <c r="G80" s="20">
        <f>'Р 3'!H132</f>
        <v>2.4700000000000002</v>
      </c>
      <c r="H80" s="20">
        <f t="shared" si="4"/>
        <v>9.8800000000000008</v>
      </c>
      <c r="I80" s="20">
        <f>'Р 3'!J132</f>
        <v>9.8800000000000008</v>
      </c>
      <c r="J80" s="20">
        <f>'Р 3'!K132</f>
        <v>9.8800000000000008</v>
      </c>
    </row>
    <row r="81" spans="1:10" ht="18" customHeight="1" x14ac:dyDescent="0.25">
      <c r="A81" s="512"/>
      <c r="B81" s="5" t="s">
        <v>161</v>
      </c>
      <c r="C81" s="8" t="s">
        <v>162</v>
      </c>
      <c r="D81" s="20">
        <f>'Р 3'!E133-28.14</f>
        <v>2.7800000000000011</v>
      </c>
      <c r="E81" s="20">
        <f>'Р 3'!F133</f>
        <v>30.92</v>
      </c>
      <c r="F81" s="20">
        <f>'Р 3'!G133</f>
        <v>30.92</v>
      </c>
      <c r="G81" s="20">
        <f>'Р 3'!H133</f>
        <v>30.92</v>
      </c>
      <c r="H81" s="20">
        <f t="shared" si="4"/>
        <v>95.54</v>
      </c>
      <c r="I81" s="20">
        <f>'Р 3'!J133</f>
        <v>123.68</v>
      </c>
      <c r="J81" s="20">
        <f>'Р 3'!K133</f>
        <v>123.68</v>
      </c>
    </row>
    <row r="82" spans="1:10" ht="18" customHeight="1" x14ac:dyDescent="0.25">
      <c r="A82" s="512"/>
      <c r="B82" s="5" t="s">
        <v>163</v>
      </c>
      <c r="C82" s="8" t="s">
        <v>164</v>
      </c>
      <c r="D82" s="20">
        <f>'[2]Раздел 6'!$S$27</f>
        <v>907.17399999999998</v>
      </c>
      <c r="E82" s="20">
        <f>'Р 3'!E134</f>
        <v>539.47891239</v>
      </c>
      <c r="F82" s="20">
        <f>'Р 3'!F134</f>
        <v>532.56677891999993</v>
      </c>
      <c r="G82" s="20">
        <f>'Р 3'!G134</f>
        <v>525.65464544999998</v>
      </c>
      <c r="H82" s="20">
        <f t="shared" si="4"/>
        <v>2504.87433676</v>
      </c>
      <c r="I82" s="20">
        <f>'Р 3'!J134</f>
        <v>2116.44284874</v>
      </c>
      <c r="J82" s="20">
        <f>'Р 3'!K134</f>
        <v>2116.44284874</v>
      </c>
    </row>
    <row r="83" spans="1:10" ht="18" customHeight="1" x14ac:dyDescent="0.25">
      <c r="A83" s="512"/>
      <c r="B83" s="5" t="s">
        <v>165</v>
      </c>
      <c r="C83" s="8" t="s">
        <v>166</v>
      </c>
      <c r="D83" s="24">
        <f>'[2]Раздел 6'!$S$28</f>
        <v>6372.7769899999994</v>
      </c>
      <c r="E83" s="20">
        <v>0</v>
      </c>
      <c r="F83" s="14">
        <v>0</v>
      </c>
      <c r="G83" s="20">
        <v>0</v>
      </c>
      <c r="H83" s="20">
        <f t="shared" si="4"/>
        <v>6372.7769899999994</v>
      </c>
      <c r="I83" s="20" t="e">
        <f>'Р 2'!I40</f>
        <v>#REF!</v>
      </c>
      <c r="J83" s="20" t="e">
        <f>'Р 2'!J40</f>
        <v>#REF!</v>
      </c>
    </row>
    <row r="84" spans="1:10" ht="18" customHeight="1" x14ac:dyDescent="0.25">
      <c r="A84" s="512"/>
      <c r="B84" s="5" t="s">
        <v>167</v>
      </c>
      <c r="C84" s="8" t="s">
        <v>168</v>
      </c>
      <c r="D84" s="20">
        <f>'[2]Раздел 6'!$S$29</f>
        <v>3022.6049050508464</v>
      </c>
      <c r="E84" s="20">
        <f>'Р 2'!E16*0.2-'Р 3'!T384</f>
        <v>461.90572431576595</v>
      </c>
      <c r="F84" s="20">
        <v>0</v>
      </c>
      <c r="G84" s="20">
        <f>'Р 2'!G16*0.2-'Р 3'!V384+('Р 2'!F16*0.2-'Р 3'!U384)</f>
        <v>18482.838300427757</v>
      </c>
      <c r="H84" s="20">
        <f t="shared" si="4"/>
        <v>21967.348929794367</v>
      </c>
      <c r="I84" s="20">
        <f>'Р 2'!J16*0.2-'Р 3'!X384</f>
        <v>17856.057470649073</v>
      </c>
      <c r="J84" s="20">
        <f>'Р 2'!K16*0.2-'Р 3'!X384</f>
        <v>19092.498576621852</v>
      </c>
    </row>
    <row r="85" spans="1:10" ht="18" customHeight="1" x14ac:dyDescent="0.25">
      <c r="A85" s="512"/>
      <c r="B85" s="5" t="s">
        <v>169</v>
      </c>
      <c r="C85" s="8" t="s">
        <v>170</v>
      </c>
      <c r="D85" s="20">
        <v>0</v>
      </c>
      <c r="E85" s="20">
        <f>'[2]Раздел 6'!$S$30</f>
        <v>1298.8367464488338</v>
      </c>
      <c r="F85" s="20">
        <v>0</v>
      </c>
      <c r="G85" s="20">
        <v>0</v>
      </c>
      <c r="H85" s="20">
        <f t="shared" si="4"/>
        <v>1298.8367464488338</v>
      </c>
      <c r="I85" s="20" t="e">
        <f>'Р 2'!I42</f>
        <v>#REF!</v>
      </c>
      <c r="J85" s="20" t="e">
        <f>'Р 2'!J42</f>
        <v>#REF!</v>
      </c>
    </row>
    <row r="86" spans="1:10" ht="18" customHeight="1" x14ac:dyDescent="0.25">
      <c r="A86" s="512"/>
      <c r="B86" s="5" t="s">
        <v>171</v>
      </c>
      <c r="C86" s="8" t="s">
        <v>172</v>
      </c>
      <c r="D86" s="20">
        <v>0</v>
      </c>
      <c r="E86" s="20">
        <f>'Р 2'!N37</f>
        <v>1</v>
      </c>
      <c r="F86" s="20">
        <v>0</v>
      </c>
      <c r="G86" s="20">
        <v>0</v>
      </c>
      <c r="H86" s="20">
        <f t="shared" si="4"/>
        <v>1</v>
      </c>
      <c r="I86" s="20">
        <v>0</v>
      </c>
      <c r="J86" s="20">
        <v>0</v>
      </c>
    </row>
    <row r="87" spans="1:10" ht="18" customHeight="1" x14ac:dyDescent="0.25">
      <c r="A87" s="512"/>
      <c r="B87" s="5" t="s">
        <v>173</v>
      </c>
      <c r="C87" s="8" t="s">
        <v>174</v>
      </c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</row>
    <row r="88" spans="1:10" ht="18" customHeight="1" x14ac:dyDescent="0.25">
      <c r="A88" s="512"/>
      <c r="B88" s="5" t="s">
        <v>175</v>
      </c>
      <c r="C88" s="8" t="s">
        <v>176</v>
      </c>
      <c r="D88" s="20">
        <v>0</v>
      </c>
      <c r="E88" s="20">
        <v>0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</row>
    <row r="89" spans="1:10" ht="18" customHeight="1" x14ac:dyDescent="0.25">
      <c r="A89" s="513"/>
      <c r="B89" s="5" t="s">
        <v>177</v>
      </c>
      <c r="C89" s="8" t="s">
        <v>178</v>
      </c>
      <c r="D89" s="20">
        <v>0</v>
      </c>
      <c r="E89" s="20">
        <v>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</row>
    <row r="90" spans="1:10" ht="18" customHeight="1" x14ac:dyDescent="0.25">
      <c r="A90" s="5">
        <v>7</v>
      </c>
      <c r="B90" s="515" t="s">
        <v>179</v>
      </c>
      <c r="C90" s="516"/>
      <c r="D90" s="20">
        <v>0</v>
      </c>
      <c r="E90" s="20">
        <v>0</v>
      </c>
      <c r="F90" s="20">
        <f>E28</f>
        <v>30000</v>
      </c>
      <c r="G90" s="20">
        <v>0</v>
      </c>
      <c r="H90" s="20">
        <f>SUM(D90:G90)</f>
        <v>30000</v>
      </c>
      <c r="I90" s="20">
        <v>0</v>
      </c>
      <c r="J90" s="20">
        <v>0</v>
      </c>
    </row>
    <row r="91" spans="1:10" ht="18" customHeight="1" x14ac:dyDescent="0.25">
      <c r="A91" s="5">
        <v>8</v>
      </c>
      <c r="B91" s="515" t="s">
        <v>180</v>
      </c>
      <c r="C91" s="516"/>
      <c r="D91" s="20">
        <v>0</v>
      </c>
      <c r="E91" s="20">
        <v>0</v>
      </c>
      <c r="F91" s="20">
        <v>1500</v>
      </c>
      <c r="G91" s="20">
        <v>0</v>
      </c>
      <c r="H91" s="20">
        <f>SUM(D91:G91)</f>
        <v>1500</v>
      </c>
      <c r="I91" s="20">
        <v>0</v>
      </c>
      <c r="J91" s="20">
        <v>0</v>
      </c>
    </row>
    <row r="92" spans="1:10" ht="18" customHeight="1" x14ac:dyDescent="0.25">
      <c r="A92" s="511">
        <v>9</v>
      </c>
      <c r="B92" s="515" t="s">
        <v>181</v>
      </c>
      <c r="C92" s="516"/>
      <c r="D92" s="20" t="e">
        <f>SUM(D93:D99)+SUM(D104:D112)</f>
        <v>#REF!</v>
      </c>
      <c r="E92" s="20" t="e">
        <f>SUM(E93:E99)+SUM(E104:E112)</f>
        <v>#REF!</v>
      </c>
      <c r="F92" s="20" t="e">
        <f>SUM(F93:F99)+SUM(F104:F112)-0.01</f>
        <v>#REF!</v>
      </c>
      <c r="G92" s="20" t="e">
        <f>SUM(G93:G99)+SUM(G104:G112)-0.01</f>
        <v>#REF!</v>
      </c>
      <c r="H92" s="20" t="e">
        <f>SUM(H93:H99)+SUM(H104:H112)</f>
        <v>#REF!</v>
      </c>
      <c r="I92" s="20" t="e">
        <f>SUM(I93:I99)+SUM(I104:I112)+0.01</f>
        <v>#REF!</v>
      </c>
      <c r="J92" s="20" t="e">
        <f>SUM(J93:J99)+SUM(J104:J112)</f>
        <v>#REF!</v>
      </c>
    </row>
    <row r="93" spans="1:10" ht="29.25" customHeight="1" x14ac:dyDescent="0.25">
      <c r="A93" s="512"/>
      <c r="B93" s="5" t="s">
        <v>182</v>
      </c>
      <c r="C93" s="25" t="s">
        <v>183</v>
      </c>
      <c r="D93" s="26">
        <f>'Р 3'!E222</f>
        <v>174.86</v>
      </c>
      <c r="E93" s="26">
        <f>'Р 3'!F222</f>
        <v>174.86</v>
      </c>
      <c r="F93" s="26">
        <f>'Р 3'!G222</f>
        <v>4.8600000000000003</v>
      </c>
      <c r="G93" s="26">
        <f>'Р 3'!H222</f>
        <v>4.8600000000000003</v>
      </c>
      <c r="H93" s="26">
        <f>SUM(D93:G93)</f>
        <v>359.44000000000005</v>
      </c>
      <c r="I93" s="26">
        <f>'Р 3'!J222</f>
        <v>373.45816000000002</v>
      </c>
      <c r="J93" s="26">
        <f>'Р 3'!K222</f>
        <v>388.02302823999997</v>
      </c>
    </row>
    <row r="94" spans="1:10" ht="18" customHeight="1" x14ac:dyDescent="0.25">
      <c r="A94" s="512"/>
      <c r="B94" s="5" t="s">
        <v>184</v>
      </c>
      <c r="C94" s="8" t="s">
        <v>185</v>
      </c>
      <c r="D94" s="26">
        <f>'Р 3'!E227</f>
        <v>17.768000000000001</v>
      </c>
      <c r="E94" s="26">
        <f>'Р 3'!F227</f>
        <v>143.21600000000001</v>
      </c>
      <c r="F94" s="26">
        <f>'Р 3'!G227</f>
        <v>235.90899999999999</v>
      </c>
      <c r="G94" s="26">
        <f>'Р 3'!H227</f>
        <v>14.56</v>
      </c>
      <c r="H94" s="26">
        <f>SUM(D94:G94)+0.01</f>
        <v>411.46300000000002</v>
      </c>
      <c r="I94" s="26">
        <f>'Р 3'!J227</f>
        <v>197.76118200000002</v>
      </c>
      <c r="J94" s="26">
        <f>'Р 3'!K227</f>
        <v>205.473868098</v>
      </c>
    </row>
    <row r="95" spans="1:10" ht="18" customHeight="1" x14ac:dyDescent="0.25">
      <c r="A95" s="512"/>
      <c r="B95" s="5" t="s">
        <v>186</v>
      </c>
      <c r="C95" s="25" t="s">
        <v>187</v>
      </c>
      <c r="D95" s="26">
        <f>'Р 3'!E234</f>
        <v>0</v>
      </c>
      <c r="E95" s="26">
        <f>'Р 3'!F234*1.2</f>
        <v>41.862468</v>
      </c>
      <c r="F95" s="26">
        <f>'Р 3'!G234*1.2</f>
        <v>125.58740399999999</v>
      </c>
      <c r="G95" s="26">
        <f>'Р 3'!H234</f>
        <v>0</v>
      </c>
      <c r="H95" s="26">
        <f>SUM(D95:G95)</f>
        <v>167.449872</v>
      </c>
      <c r="I95" s="26">
        <f>'Р 3'!J234*1.2</f>
        <v>173.99288500799997</v>
      </c>
      <c r="J95" s="26">
        <f>'Р 3'!K234*1.2</f>
        <v>180.77860752331196</v>
      </c>
    </row>
    <row r="96" spans="1:10" ht="18" customHeight="1" x14ac:dyDescent="0.25">
      <c r="A96" s="512"/>
      <c r="B96" s="5" t="s">
        <v>188</v>
      </c>
      <c r="C96" s="25" t="s">
        <v>189</v>
      </c>
      <c r="D96" s="26">
        <f>18.58333*3+10.56744</f>
        <v>66.317430000000002</v>
      </c>
      <c r="E96" s="26">
        <f>18.58333*3</f>
        <v>55.749989999999997</v>
      </c>
      <c r="F96" s="26">
        <f>18.58333*3</f>
        <v>55.749989999999997</v>
      </c>
      <c r="G96" s="26">
        <f>18.58333*3</f>
        <v>55.749989999999997</v>
      </c>
      <c r="H96" s="26">
        <f>SUM(D96:G96)</f>
        <v>233.56739999999999</v>
      </c>
      <c r="I96" s="26">
        <f>'Р 1'!H96</f>
        <v>233.56739999999999</v>
      </c>
      <c r="J96" s="26">
        <f>I96</f>
        <v>233.56739999999999</v>
      </c>
    </row>
    <row r="97" spans="1:10" ht="18" customHeight="1" x14ac:dyDescent="0.25">
      <c r="A97" s="512"/>
      <c r="B97" s="5" t="s">
        <v>190</v>
      </c>
      <c r="C97" s="25" t="s">
        <v>191</v>
      </c>
      <c r="D97" s="26">
        <f>'Р 3'!E247+'Р 3'!T253+'Р 3'!T254+'Р 3'!T255+'Р 3'!T257+'Р 3'!T258+'Р 3'!T260-54.59</f>
        <v>131.250384</v>
      </c>
      <c r="E97" s="26">
        <f>'Р 3'!F247+'Р 3'!U253+'Р 3'!U254+'Р 3'!U255+'Р 3'!U257+'Р 3'!U258+'Р 3'!U260</f>
        <v>233.24886000000001</v>
      </c>
      <c r="F97" s="26">
        <f>'Р 3'!G247+'Р 3'!V253+'Р 3'!V254+'Р 3'!V255+'Р 3'!V257+'Р 3'!V258+'Р 3'!V260</f>
        <v>272.78144000000009</v>
      </c>
      <c r="G97" s="26">
        <f>'Р 3'!H247+'Р 3'!W253+'Р 3'!W254+'Р 3'!W255+'Р 3'!W257+'Р 3'!W258+'Р 3'!W260</f>
        <v>184.13144</v>
      </c>
      <c r="H97" s="26">
        <f>SUM(D97:G97)</f>
        <v>821.41212400000006</v>
      </c>
      <c r="I97" s="26">
        <f>'Р 3'!J247*1.2</f>
        <v>996.94733585999995</v>
      </c>
      <c r="J97" s="26">
        <f>'Р 3'!K247*1.2</f>
        <v>1011.9015458978998</v>
      </c>
    </row>
    <row r="98" spans="1:10" ht="18" customHeight="1" x14ac:dyDescent="0.25">
      <c r="A98" s="512"/>
      <c r="B98" s="5" t="s">
        <v>192</v>
      </c>
      <c r="C98" s="8" t="s">
        <v>193</v>
      </c>
      <c r="D98" s="26" t="e">
        <f>'Р 3'!E264+'Р 2'!M34</f>
        <v>#REF!</v>
      </c>
      <c r="E98" s="26" t="e">
        <f>'Р 3'!F264+35</f>
        <v>#REF!</v>
      </c>
      <c r="F98" s="26" t="e">
        <f>'Р 3'!G264+35</f>
        <v>#REF!</v>
      </c>
      <c r="G98" s="26" t="e">
        <f>'Р 3'!H264+35</f>
        <v>#REF!</v>
      </c>
      <c r="H98" s="26" t="e">
        <f>SUM(D98:G98)-0.01</f>
        <v>#REF!</v>
      </c>
      <c r="I98" s="26" t="e">
        <f>'Р 3'!J264+'Р 2'!M34+'Р 2'!N34+'Р 2'!O34+'Р 2'!P34</f>
        <v>#REF!</v>
      </c>
      <c r="J98" s="26" t="e">
        <f>'Р 3'!K264+'Р 2'!M34+'Р 2'!N34+'Р 2'!O34+'Р 2'!P34</f>
        <v>#REF!</v>
      </c>
    </row>
    <row r="99" spans="1:10" ht="18" customHeight="1" x14ac:dyDescent="0.25">
      <c r="A99" s="512"/>
      <c r="B99" s="5" t="s">
        <v>194</v>
      </c>
      <c r="C99" s="8" t="s">
        <v>195</v>
      </c>
      <c r="D99" s="26">
        <f>SUM(D100:D103)</f>
        <v>489.99136780000003</v>
      </c>
      <c r="E99" s="26">
        <f>SUM(E100:E103)</f>
        <v>216.46342780000001</v>
      </c>
      <c r="F99" s="26">
        <f>SUM(F100:F103)</f>
        <v>187.30334047000002</v>
      </c>
      <c r="G99" s="26">
        <f>SUM(G100:G103)</f>
        <v>506.39006046999998</v>
      </c>
      <c r="H99" s="26">
        <f>SUM(H100:H103)</f>
        <v>1400.1381965399999</v>
      </c>
      <c r="I99" s="26">
        <f>SUM(I100:I103)-0.01</f>
        <v>1425.2874540786599</v>
      </c>
      <c r="J99" s="26">
        <f>SUM(J100:J103)-0.01</f>
        <v>1480.7306203477276</v>
      </c>
    </row>
    <row r="100" spans="1:10" ht="28.5" customHeight="1" x14ac:dyDescent="0.25">
      <c r="A100" s="512"/>
      <c r="B100" s="5" t="s">
        <v>196</v>
      </c>
      <c r="C100" s="4" t="s">
        <v>197</v>
      </c>
      <c r="D100" s="26">
        <f>'Р 3'!E307+'Р 3'!T321+28.02</f>
        <v>395.34846340000001</v>
      </c>
      <c r="E100" s="26">
        <f>'Р 3'!F307+'Р 3'!U321</f>
        <v>121.8205234</v>
      </c>
      <c r="F100" s="26">
        <f>'Р 3'!G307</f>
        <v>92.660436070000003</v>
      </c>
      <c r="G100" s="26">
        <f>'Р 3'!H307</f>
        <v>411.74715606999996</v>
      </c>
      <c r="H100" s="26">
        <f>SUM(D100:G100)</f>
        <v>1021.5765789399999</v>
      </c>
      <c r="I100" s="26">
        <f>'Р 3'!J307</f>
        <v>1032.09067107226</v>
      </c>
      <c r="J100" s="26">
        <f>'Р 3'!K307</f>
        <v>1072.3422072440781</v>
      </c>
    </row>
    <row r="101" spans="1:10" ht="18" customHeight="1" x14ac:dyDescent="0.25">
      <c r="A101" s="512"/>
      <c r="B101" s="5" t="s">
        <v>198</v>
      </c>
      <c r="C101" s="8" t="s">
        <v>199</v>
      </c>
      <c r="D101" s="26">
        <f>'Р 3'!E326*1.2</f>
        <v>71.033571120000005</v>
      </c>
      <c r="E101" s="26">
        <f>'Р 3'!F326*1.2</f>
        <v>71.033571120000005</v>
      </c>
      <c r="F101" s="26">
        <f>'Р 3'!G326*1.2</f>
        <v>71.033571120000005</v>
      </c>
      <c r="G101" s="26">
        <f>'Р 3'!H326*1.2</f>
        <v>71.033571120000005</v>
      </c>
      <c r="H101" s="26">
        <f>SUM(D101:G101)-0.01</f>
        <v>284.12428448000003</v>
      </c>
      <c r="I101" s="26">
        <f>'Р 3'!J326*1.2</f>
        <v>295.19058557471999</v>
      </c>
      <c r="J101" s="26">
        <f>'Р 3'!K326*1.2</f>
        <v>306.70301841213404</v>
      </c>
    </row>
    <row r="102" spans="1:10" ht="18" customHeight="1" x14ac:dyDescent="0.25">
      <c r="A102" s="512"/>
      <c r="B102" s="5" t="s">
        <v>200</v>
      </c>
      <c r="C102" s="8" t="s">
        <v>201</v>
      </c>
      <c r="D102" s="26">
        <f>'Р 3'!E338</f>
        <v>3.1792799999999999</v>
      </c>
      <c r="E102" s="26">
        <f>'Р 3'!F338</f>
        <v>3.1792799999999999</v>
      </c>
      <c r="F102" s="26">
        <f>'Р 3'!G338</f>
        <v>3.1792799999999999</v>
      </c>
      <c r="G102" s="26">
        <f>'Р 3'!H338</f>
        <v>3.1792799999999999</v>
      </c>
      <c r="H102" s="26">
        <f>SUM(D102:G102)</f>
        <v>12.71712</v>
      </c>
      <c r="I102" s="26">
        <f>'Р 3'!J338</f>
        <v>13.083959999999999</v>
      </c>
      <c r="J102" s="26">
        <f>'Р 3'!K338</f>
        <v>13.450800000000001</v>
      </c>
    </row>
    <row r="103" spans="1:10" ht="18" customHeight="1" x14ac:dyDescent="0.25">
      <c r="A103" s="512"/>
      <c r="B103" s="5" t="s">
        <v>202</v>
      </c>
      <c r="C103" s="8" t="s">
        <v>203</v>
      </c>
      <c r="D103" s="26">
        <f>'Р 3'!E341*1.2</f>
        <v>20.430053279999999</v>
      </c>
      <c r="E103" s="26">
        <f>'Р 3'!F341*1.2</f>
        <v>20.430053279999999</v>
      </c>
      <c r="F103" s="26">
        <f>'Р 3'!G341*1.2</f>
        <v>20.430053279999999</v>
      </c>
      <c r="G103" s="26">
        <f>'Р 3'!H341*1.2</f>
        <v>20.430053279999999</v>
      </c>
      <c r="H103" s="26">
        <f>SUM(D103:G103)</f>
        <v>81.720213119999997</v>
      </c>
      <c r="I103" s="26">
        <f>'Р 3'!J341*1.2</f>
        <v>84.93223743167998</v>
      </c>
      <c r="J103" s="26">
        <f>'Р 3'!K341*1.2</f>
        <v>88.244594691515502</v>
      </c>
    </row>
    <row r="104" spans="1:10" ht="18" customHeight="1" x14ac:dyDescent="0.25">
      <c r="A104" s="512"/>
      <c r="B104" s="5" t="s">
        <v>204</v>
      </c>
      <c r="C104" s="8" t="s">
        <v>205</v>
      </c>
      <c r="D104" s="26">
        <f>'Р 3'!E344</f>
        <v>3.8431999999999999</v>
      </c>
      <c r="E104" s="26">
        <f>'Р 3'!F344</f>
        <v>3.8431999999999999</v>
      </c>
      <c r="F104" s="26">
        <f>'Р 3'!G344</f>
        <v>10.023199999999999</v>
      </c>
      <c r="G104" s="26">
        <f>'Р 3'!H344</f>
        <v>3.8431999999999999</v>
      </c>
      <c r="H104" s="26">
        <f>SUM(D104:G104)-0.01</f>
        <v>21.542799999999996</v>
      </c>
      <c r="I104" s="26">
        <f>'Р 3'!J344</f>
        <v>22.382969199999994</v>
      </c>
      <c r="J104" s="26">
        <f>'Р 3'!K344</f>
        <v>23.255904998799991</v>
      </c>
    </row>
    <row r="105" spans="1:10" ht="18" customHeight="1" x14ac:dyDescent="0.25">
      <c r="A105" s="512"/>
      <c r="B105" s="5" t="s">
        <v>206</v>
      </c>
      <c r="C105" s="8" t="s">
        <v>207</v>
      </c>
      <c r="D105" s="26">
        <v>1.3992</v>
      </c>
      <c r="E105" s="26">
        <f>7.70407*3+1.0116*2+240</f>
        <v>265.13540999999998</v>
      </c>
      <c r="F105" s="26">
        <v>0</v>
      </c>
      <c r="G105" s="26">
        <f>6.66922+5.25201</f>
        <v>11.921230000000001</v>
      </c>
      <c r="H105" s="26">
        <f>SUM(D105:G105)</f>
        <v>278.45583999999997</v>
      </c>
      <c r="I105" s="26">
        <f>H105</f>
        <v>278.45583999999997</v>
      </c>
      <c r="J105" s="26">
        <f>I105</f>
        <v>278.45583999999997</v>
      </c>
    </row>
    <row r="106" spans="1:10" ht="18" customHeight="1" x14ac:dyDescent="0.25">
      <c r="A106" s="512"/>
      <c r="B106" s="5" t="s">
        <v>208</v>
      </c>
      <c r="C106" s="8" t="s">
        <v>209</v>
      </c>
      <c r="D106" s="26">
        <f>'Р 3'!E364</f>
        <v>0</v>
      </c>
      <c r="E106" s="26">
        <f>'Р 3'!F364</f>
        <v>100</v>
      </c>
      <c r="F106" s="26">
        <f>'Р 3'!G364</f>
        <v>100</v>
      </c>
      <c r="G106" s="26">
        <f>'Р 3'!H364</f>
        <v>0</v>
      </c>
      <c r="H106" s="26">
        <f>SUM(D106:G106)</f>
        <v>200</v>
      </c>
      <c r="I106" s="26">
        <f>'Р 3'!J364</f>
        <v>200</v>
      </c>
      <c r="J106" s="26">
        <f>'Р 3'!K364</f>
        <v>200</v>
      </c>
    </row>
    <row r="107" spans="1:10" ht="18" customHeight="1" x14ac:dyDescent="0.25">
      <c r="A107" s="512"/>
      <c r="B107" s="5" t="s">
        <v>210</v>
      </c>
      <c r="C107" s="8" t="s">
        <v>211</v>
      </c>
      <c r="D107" s="26">
        <f>'Р 3'!E365+0.07</f>
        <v>14.07</v>
      </c>
      <c r="E107" s="26">
        <f>'Р 3'!F365</f>
        <v>0</v>
      </c>
      <c r="F107" s="26">
        <f>'Р 3'!G365</f>
        <v>66</v>
      </c>
      <c r="G107" s="26">
        <f>'Р 3'!H365</f>
        <v>0</v>
      </c>
      <c r="H107" s="26">
        <f>SUM(D107:G107)</f>
        <v>80.069999999999993</v>
      </c>
      <c r="I107" s="26">
        <f>'Р 3'!J365</f>
        <v>80</v>
      </c>
      <c r="J107" s="26">
        <f>'Р 3'!K365</f>
        <v>80</v>
      </c>
    </row>
    <row r="108" spans="1:10" ht="28.5" customHeight="1" x14ac:dyDescent="0.25">
      <c r="A108" s="512"/>
      <c r="B108" s="5" t="s">
        <v>212</v>
      </c>
      <c r="C108" s="8" t="s">
        <v>213</v>
      </c>
      <c r="D108" s="26">
        <f>'Р 3'!E369-240.52</f>
        <v>104.47999999999999</v>
      </c>
      <c r="E108" s="26">
        <f>'Р 3'!F369</f>
        <v>345</v>
      </c>
      <c r="F108" s="26">
        <f>'Р 3'!G369</f>
        <v>345</v>
      </c>
      <c r="G108" s="26">
        <f>'Р 3'!H369</f>
        <v>345</v>
      </c>
      <c r="H108" s="26">
        <f>SUM(D108:G108)</f>
        <v>1139.48</v>
      </c>
      <c r="I108" s="26">
        <f>'Р 3'!J369</f>
        <v>1433.82</v>
      </c>
      <c r="J108" s="26">
        <f>'Р 3'!K369</f>
        <v>1489.7389799999999</v>
      </c>
    </row>
    <row r="109" spans="1:10" ht="18" customHeight="1" x14ac:dyDescent="0.25">
      <c r="A109" s="512"/>
      <c r="B109" s="5" t="s">
        <v>214</v>
      </c>
      <c r="C109" s="23" t="s">
        <v>215</v>
      </c>
      <c r="D109" s="26">
        <v>0</v>
      </c>
      <c r="E109" s="26">
        <v>0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</row>
    <row r="110" spans="1:10" ht="18" customHeight="1" x14ac:dyDescent="0.25">
      <c r="A110" s="512"/>
      <c r="B110" s="1" t="s">
        <v>216</v>
      </c>
      <c r="C110" s="8" t="s">
        <v>77</v>
      </c>
      <c r="D110" s="26">
        <v>71.3</v>
      </c>
      <c r="E110" s="26">
        <v>0</v>
      </c>
      <c r="F110" s="26">
        <v>0</v>
      </c>
      <c r="G110" s="26">
        <v>0</v>
      </c>
      <c r="H110" s="26">
        <f>SUM(D110:G110)</f>
        <v>71.3</v>
      </c>
      <c r="I110" s="26">
        <v>0</v>
      </c>
      <c r="J110" s="26">
        <v>0</v>
      </c>
    </row>
    <row r="111" spans="1:10" ht="18" customHeight="1" x14ac:dyDescent="0.25">
      <c r="A111" s="512"/>
      <c r="B111" s="5" t="s">
        <v>217</v>
      </c>
      <c r="C111" s="2" t="s">
        <v>218</v>
      </c>
      <c r="D111" s="20">
        <v>0</v>
      </c>
      <c r="E111" s="20">
        <v>0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</row>
    <row r="112" spans="1:10" ht="18" customHeight="1" x14ac:dyDescent="0.25">
      <c r="A112" s="513"/>
      <c r="B112" s="5" t="s">
        <v>219</v>
      </c>
      <c r="C112" s="8" t="s">
        <v>220</v>
      </c>
      <c r="D112" s="20">
        <f>'Р 3'!E371+50+50+36</f>
        <v>536</v>
      </c>
      <c r="E112" s="20">
        <f>'Р 3'!F371+50</f>
        <v>450</v>
      </c>
      <c r="F112" s="20">
        <f>'Р 3'!G371+50+2100</f>
        <v>2550</v>
      </c>
      <c r="G112" s="20" t="e">
        <f>'Р 3'!H371+50+'Р 2'!P36+#REF!+54</f>
        <v>#REF!</v>
      </c>
      <c r="H112" s="20" t="e">
        <f>SUM(D112:G112)</f>
        <v>#REF!</v>
      </c>
      <c r="I112" s="20" t="e">
        <f>'Р 3'!J371+'Р 2'!M35+'Р 2'!N35+'Р 2'!O35+'Р 2'!P35+'Р 2'!P36+#REF!</f>
        <v>#REF!</v>
      </c>
      <c r="J112" s="20" t="e">
        <f>'Р 3'!K371+'Р 2'!M35+'Р 2'!N35+'Р 2'!O35+'Р 2'!P35+'Р 2'!P36+#REF!</f>
        <v>#REF!</v>
      </c>
    </row>
    <row r="113" spans="1:10" ht="18" customHeight="1" x14ac:dyDescent="0.25">
      <c r="A113" s="5">
        <v>10</v>
      </c>
      <c r="B113" s="499" t="s">
        <v>221</v>
      </c>
      <c r="C113" s="501"/>
      <c r="D113" s="20">
        <v>0</v>
      </c>
      <c r="E113" s="20">
        <v>0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</row>
    <row r="114" spans="1:10" ht="18" customHeight="1" x14ac:dyDescent="0.25">
      <c r="A114" s="5"/>
      <c r="B114" s="517" t="s">
        <v>222</v>
      </c>
      <c r="C114" s="518"/>
      <c r="D114" s="20" t="e">
        <f>D36+D44+D48+D60+D74+D78+D90+D91+D92+D113+0.01</f>
        <v>#REF!</v>
      </c>
      <c r="E114" s="20" t="e">
        <f>E36+E44+E48+E60+E74+E78+E90+E91+E92+E113</f>
        <v>#REF!</v>
      </c>
      <c r="F114" s="20" t="e">
        <f>F36+F44+F48+F60+F74+F78+F90+F91+F92+F113</f>
        <v>#REF!</v>
      </c>
      <c r="G114" s="20" t="e">
        <f>G36+G44+G48+G60+G74+G78+G90+G91+G92+G113</f>
        <v>#REF!</v>
      </c>
      <c r="H114" s="20" t="e">
        <f>H36+H44+H48+H60+H74+H78+H90+H91+H92+H113+0.01</f>
        <v>#REF!</v>
      </c>
      <c r="I114" s="20" t="e">
        <f>I36+I44+I48+I60+I74+I78+I90+I91+I92+I113</f>
        <v>#REF!</v>
      </c>
      <c r="J114" s="20" t="e">
        <f>J36+J44+J48+J60+J74+J78+J90+J91+J92+J113+0.01</f>
        <v>#REF!</v>
      </c>
    </row>
    <row r="115" spans="1:10" ht="18" customHeight="1" x14ac:dyDescent="0.25">
      <c r="A115" s="5"/>
      <c r="B115" s="517" t="s">
        <v>223</v>
      </c>
      <c r="C115" s="518"/>
      <c r="D115" s="20" t="e">
        <f t="shared" ref="D115:J115" si="5">D8+D9+D34-D114</f>
        <v>#REF!</v>
      </c>
      <c r="E115" s="20" t="e">
        <f t="shared" si="5"/>
        <v>#REF!</v>
      </c>
      <c r="F115" s="20" t="e">
        <f t="shared" si="5"/>
        <v>#REF!</v>
      </c>
      <c r="G115" s="20" t="e">
        <f t="shared" si="5"/>
        <v>#REF!</v>
      </c>
      <c r="H115" s="20" t="e">
        <f t="shared" si="5"/>
        <v>#REF!</v>
      </c>
      <c r="I115" s="20" t="e">
        <f t="shared" si="5"/>
        <v>#REF!</v>
      </c>
      <c r="J115" s="20" t="e">
        <f t="shared" si="5"/>
        <v>#REF!</v>
      </c>
    </row>
  </sheetData>
  <mergeCells count="45">
    <mergeCell ref="B115:C115"/>
    <mergeCell ref="B90:C90"/>
    <mergeCell ref="B91:C91"/>
    <mergeCell ref="B34:C34"/>
    <mergeCell ref="B35:C35"/>
    <mergeCell ref="B36:C36"/>
    <mergeCell ref="B114:C114"/>
    <mergeCell ref="B113:C113"/>
    <mergeCell ref="B44:C44"/>
    <mergeCell ref="B92:C92"/>
    <mergeCell ref="B48:C48"/>
    <mergeCell ref="B60:C60"/>
    <mergeCell ref="B74:C74"/>
    <mergeCell ref="B78:C78"/>
    <mergeCell ref="B25:C25"/>
    <mergeCell ref="B26:C26"/>
    <mergeCell ref="B27:C27"/>
    <mergeCell ref="B28:C28"/>
    <mergeCell ref="B29:C29"/>
    <mergeCell ref="B17:C17"/>
    <mergeCell ref="B18:C18"/>
    <mergeCell ref="B21:C21"/>
    <mergeCell ref="B22:C22"/>
    <mergeCell ref="B23:C23"/>
    <mergeCell ref="B7:C7"/>
    <mergeCell ref="B8:C8"/>
    <mergeCell ref="B9:C9"/>
    <mergeCell ref="B10:C10"/>
    <mergeCell ref="B11:C11"/>
    <mergeCell ref="A1:J1"/>
    <mergeCell ref="I5:J5"/>
    <mergeCell ref="D5:H5"/>
    <mergeCell ref="B5:C6"/>
    <mergeCell ref="A92:A112"/>
    <mergeCell ref="A78:A89"/>
    <mergeCell ref="A74:A77"/>
    <mergeCell ref="A60:A73"/>
    <mergeCell ref="A48:A59"/>
    <mergeCell ref="A44:A47"/>
    <mergeCell ref="A36:A43"/>
    <mergeCell ref="A29:A33"/>
    <mergeCell ref="A23:A24"/>
    <mergeCell ref="A18:A20"/>
    <mergeCell ref="A11:A16"/>
    <mergeCell ref="A5:A6"/>
  </mergeCells>
  <pageMargins left="0.39370077848434398" right="0.39370077848434398" top="0.78740155696868896" bottom="0.39370077848434398" header="0.31496062874794001" footer="0.31496062874794001"/>
  <pageSetup scale="50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U48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defaultColWidth="9.140625" defaultRowHeight="12.75" x14ac:dyDescent="0.25"/>
  <cols>
    <col min="1" max="1" width="6.42578125" style="2" customWidth="1"/>
    <col min="2" max="2" width="8.7109375" style="2" customWidth="1"/>
    <col min="3" max="3" width="72.140625" style="2" customWidth="1"/>
    <col min="4" max="4" width="10.85546875" style="2" customWidth="1"/>
    <col min="5" max="11" width="13.140625" style="2" customWidth="1"/>
    <col min="12" max="12" width="42.42578125" style="2" hidden="1" customWidth="1"/>
    <col min="13" max="13" width="44.42578125" style="2" hidden="1" customWidth="1"/>
    <col min="14" max="14" width="12.42578125" style="2" hidden="1" customWidth="1"/>
    <col min="15" max="15" width="10.7109375" style="2" hidden="1" customWidth="1"/>
    <col min="16" max="16" width="12.42578125" style="2" hidden="1" customWidth="1"/>
    <col min="17" max="21" width="9.140625" style="2" hidden="1" customWidth="1"/>
    <col min="22" max="22" width="9.140625" style="2" bestFit="1" customWidth="1"/>
    <col min="23" max="16384" width="9.140625" style="2"/>
  </cols>
  <sheetData>
    <row r="1" spans="1:11" x14ac:dyDescent="0.25">
      <c r="A1" s="504" t="s">
        <v>224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</row>
    <row r="2" spans="1:11" x14ac:dyDescent="0.25">
      <c r="A2" s="504" t="s">
        <v>225</v>
      </c>
      <c r="B2" s="504"/>
      <c r="C2" s="504"/>
      <c r="D2" s="504"/>
      <c r="E2" s="504"/>
      <c r="F2" s="504"/>
      <c r="G2" s="504"/>
      <c r="H2" s="504"/>
      <c r="I2" s="504"/>
      <c r="J2" s="504"/>
      <c r="K2" s="504"/>
    </row>
    <row r="4" spans="1:11" ht="15" customHeight="1" x14ac:dyDescent="0.25">
      <c r="A4" s="505" t="s">
        <v>36</v>
      </c>
      <c r="B4" s="505" t="s">
        <v>37</v>
      </c>
      <c r="C4" s="508"/>
      <c r="D4" s="505" t="s">
        <v>226</v>
      </c>
      <c r="E4" s="505" t="s">
        <v>38</v>
      </c>
      <c r="F4" s="507"/>
      <c r="G4" s="507"/>
      <c r="H4" s="507"/>
      <c r="I4" s="506"/>
      <c r="J4" s="505" t="s">
        <v>39</v>
      </c>
      <c r="K4" s="506"/>
    </row>
    <row r="5" spans="1:11" x14ac:dyDescent="0.25">
      <c r="A5" s="514"/>
      <c r="B5" s="509"/>
      <c r="C5" s="510"/>
      <c r="D5" s="514"/>
      <c r="E5" s="5" t="s">
        <v>40</v>
      </c>
      <c r="F5" s="5" t="s">
        <v>41</v>
      </c>
      <c r="G5" s="5" t="s">
        <v>42</v>
      </c>
      <c r="H5" s="5" t="s">
        <v>43</v>
      </c>
      <c r="I5" s="5" t="s">
        <v>44</v>
      </c>
      <c r="J5" s="5" t="s">
        <v>45</v>
      </c>
      <c r="K5" s="5" t="s">
        <v>46</v>
      </c>
    </row>
    <row r="6" spans="1:11" ht="14.65" customHeight="1" x14ac:dyDescent="0.25">
      <c r="A6" s="5">
        <v>1</v>
      </c>
      <c r="B6" s="505">
        <v>2</v>
      </c>
      <c r="C6" s="506"/>
      <c r="D6" s="5">
        <v>3</v>
      </c>
      <c r="E6" s="5">
        <v>4</v>
      </c>
      <c r="F6" s="5">
        <v>5</v>
      </c>
      <c r="G6" s="5">
        <v>6</v>
      </c>
      <c r="H6" s="5">
        <v>7</v>
      </c>
      <c r="I6" s="5">
        <v>8</v>
      </c>
      <c r="J6" s="5">
        <v>9</v>
      </c>
      <c r="K6" s="5">
        <v>10</v>
      </c>
    </row>
    <row r="7" spans="1:11" ht="26.65" customHeight="1" x14ac:dyDescent="0.25">
      <c r="A7" s="505">
        <v>1</v>
      </c>
      <c r="B7" s="515" t="s">
        <v>227</v>
      </c>
      <c r="C7" s="516"/>
      <c r="D7" s="5"/>
      <c r="E7" s="14"/>
      <c r="F7" s="14"/>
      <c r="G7" s="14"/>
      <c r="H7" s="14"/>
      <c r="I7" s="14"/>
      <c r="J7" s="14"/>
      <c r="K7" s="14"/>
    </row>
    <row r="8" spans="1:11" ht="23.25" customHeight="1" x14ac:dyDescent="0.25">
      <c r="A8" s="512"/>
      <c r="B8" s="5" t="s">
        <v>51</v>
      </c>
      <c r="C8" s="13" t="s">
        <v>228</v>
      </c>
      <c r="D8" s="5" t="s">
        <v>229</v>
      </c>
      <c r="E8" s="20">
        <f t="shared" ref="E8:K8" si="0">SUM(E9:E11)</f>
        <v>0</v>
      </c>
      <c r="F8" s="20">
        <f t="shared" si="0"/>
        <v>0</v>
      </c>
      <c r="G8" s="20">
        <f t="shared" si="0"/>
        <v>2063</v>
      </c>
      <c r="H8" s="20">
        <f t="shared" si="0"/>
        <v>0</v>
      </c>
      <c r="I8" s="20">
        <f t="shared" si="0"/>
        <v>2063</v>
      </c>
      <c r="J8" s="20">
        <f t="shared" si="0"/>
        <v>2063</v>
      </c>
      <c r="K8" s="20">
        <f t="shared" si="0"/>
        <v>2063</v>
      </c>
    </row>
    <row r="9" spans="1:11" ht="23.25" customHeight="1" x14ac:dyDescent="0.25">
      <c r="A9" s="512"/>
      <c r="B9" s="5" t="s">
        <v>52</v>
      </c>
      <c r="C9" s="4" t="s">
        <v>230</v>
      </c>
      <c r="D9" s="5" t="s">
        <v>229</v>
      </c>
      <c r="E9" s="20">
        <v>0</v>
      </c>
      <c r="F9" s="20">
        <v>0</v>
      </c>
      <c r="G9" s="20">
        <f>'[3]Водный тр-т'!$T$9</f>
        <v>1563</v>
      </c>
      <c r="H9" s="20">
        <v>0</v>
      </c>
      <c r="I9" s="20">
        <f>SUM(E9:H9)</f>
        <v>1563</v>
      </c>
      <c r="J9" s="20">
        <f t="shared" ref="J9:K12" si="1">I9</f>
        <v>1563</v>
      </c>
      <c r="K9" s="20">
        <f t="shared" si="1"/>
        <v>1563</v>
      </c>
    </row>
    <row r="10" spans="1:11" ht="23.25" customHeight="1" x14ac:dyDescent="0.25">
      <c r="A10" s="512"/>
      <c r="B10" s="5" t="s">
        <v>54</v>
      </c>
      <c r="C10" s="4" t="s">
        <v>231</v>
      </c>
      <c r="D10" s="5" t="s">
        <v>229</v>
      </c>
      <c r="E10" s="20">
        <v>0</v>
      </c>
      <c r="F10" s="20">
        <v>0</v>
      </c>
      <c r="G10" s="20">
        <f>'[3]Водный тр-т'!$T$6</f>
        <v>500</v>
      </c>
      <c r="H10" s="20">
        <v>0</v>
      </c>
      <c r="I10" s="20">
        <f>SUM(E10:H10)</f>
        <v>500</v>
      </c>
      <c r="J10" s="20">
        <f t="shared" si="1"/>
        <v>500</v>
      </c>
      <c r="K10" s="20">
        <f t="shared" si="1"/>
        <v>500</v>
      </c>
    </row>
    <row r="11" spans="1:11" ht="23.25" customHeight="1" x14ac:dyDescent="0.25">
      <c r="A11" s="512"/>
      <c r="B11" s="5" t="s">
        <v>56</v>
      </c>
      <c r="C11" s="8" t="s">
        <v>232</v>
      </c>
      <c r="D11" s="5" t="s">
        <v>229</v>
      </c>
      <c r="E11" s="20">
        <v>0</v>
      </c>
      <c r="F11" s="20">
        <v>0</v>
      </c>
      <c r="G11" s="20">
        <v>0</v>
      </c>
      <c r="H11" s="20">
        <v>0</v>
      </c>
      <c r="I11" s="20">
        <f>SUM(E11:H11)</f>
        <v>0</v>
      </c>
      <c r="J11" s="20">
        <f t="shared" si="1"/>
        <v>0</v>
      </c>
      <c r="K11" s="20">
        <f t="shared" si="1"/>
        <v>0</v>
      </c>
    </row>
    <row r="12" spans="1:11" ht="26.65" customHeight="1" x14ac:dyDescent="0.25">
      <c r="A12" s="512"/>
      <c r="B12" s="5" t="s">
        <v>58</v>
      </c>
      <c r="C12" s="4" t="s">
        <v>233</v>
      </c>
      <c r="D12" s="5" t="s">
        <v>234</v>
      </c>
      <c r="E12" s="20">
        <f>'[3]Аренда '!$C$37</f>
        <v>3303.22</v>
      </c>
      <c r="F12" s="20">
        <f>E12</f>
        <v>3303.22</v>
      </c>
      <c r="G12" s="20">
        <f>E12</f>
        <v>3303.22</v>
      </c>
      <c r="H12" s="20">
        <f>E12</f>
        <v>3303.22</v>
      </c>
      <c r="I12" s="20">
        <f>SUM(E12:H12)/4</f>
        <v>3303.22</v>
      </c>
      <c r="J12" s="20">
        <f t="shared" si="1"/>
        <v>3303.22</v>
      </c>
      <c r="K12" s="20">
        <f t="shared" si="1"/>
        <v>3303.22</v>
      </c>
    </row>
    <row r="13" spans="1:11" ht="23.25" customHeight="1" x14ac:dyDescent="0.25">
      <c r="A13" s="512"/>
      <c r="B13" s="5" t="s">
        <v>89</v>
      </c>
      <c r="C13" s="4" t="s">
        <v>235</v>
      </c>
      <c r="D13" s="22"/>
      <c r="E13" s="22"/>
      <c r="F13" s="22"/>
      <c r="G13" s="22"/>
      <c r="H13" s="22"/>
      <c r="I13" s="22"/>
      <c r="J13" s="22"/>
      <c r="K13" s="22"/>
    </row>
    <row r="14" spans="1:11" ht="23.25" customHeight="1" x14ac:dyDescent="0.25">
      <c r="A14" s="512"/>
      <c r="B14" s="5" t="s">
        <v>236</v>
      </c>
      <c r="C14" s="4" t="s">
        <v>237</v>
      </c>
      <c r="D14" s="27" t="s">
        <v>238</v>
      </c>
      <c r="E14" s="20">
        <v>36</v>
      </c>
      <c r="F14" s="20">
        <v>36</v>
      </c>
      <c r="G14" s="20">
        <v>36</v>
      </c>
      <c r="H14" s="20">
        <v>36</v>
      </c>
      <c r="I14" s="20">
        <v>36</v>
      </c>
      <c r="J14" s="20">
        <v>36</v>
      </c>
      <c r="K14" s="20">
        <v>36</v>
      </c>
    </row>
    <row r="15" spans="1:11" ht="23.25" customHeight="1" x14ac:dyDescent="0.25">
      <c r="A15" s="514"/>
      <c r="B15" s="5" t="s">
        <v>239</v>
      </c>
      <c r="C15" s="4" t="s">
        <v>240</v>
      </c>
      <c r="D15" s="27" t="s">
        <v>241</v>
      </c>
      <c r="E15" s="20">
        <f>[3]сауна!$BD$14</f>
        <v>508</v>
      </c>
      <c r="F15" s="20">
        <f>[3]сауна!$BF$14</f>
        <v>526</v>
      </c>
      <c r="G15" s="20">
        <f>[3]сауна!$BH$14</f>
        <v>393.5</v>
      </c>
      <c r="H15" s="20">
        <f>[3]сауна!$BJ$14</f>
        <v>507</v>
      </c>
      <c r="I15" s="20">
        <f>SUM(E15:H15)</f>
        <v>1934.5</v>
      </c>
      <c r="J15" s="20">
        <f>I15</f>
        <v>1934.5</v>
      </c>
      <c r="K15" s="20">
        <f>J15</f>
        <v>1934.5</v>
      </c>
    </row>
    <row r="16" spans="1:11" ht="22.5" customHeight="1" x14ac:dyDescent="0.25">
      <c r="A16" s="505">
        <v>2</v>
      </c>
      <c r="B16" s="515" t="s">
        <v>242</v>
      </c>
      <c r="C16" s="516"/>
      <c r="D16" s="5" t="s">
        <v>243</v>
      </c>
      <c r="E16" s="20">
        <f>E17+E21+E22</f>
        <v>5221.0511176188302</v>
      </c>
      <c r="F16" s="20">
        <f>F17+F21+F22</f>
        <v>4866.8862011540095</v>
      </c>
      <c r="G16" s="20">
        <f>G17+G21+G22+0.01</f>
        <v>137103.75204460273</v>
      </c>
      <c r="H16" s="20">
        <f>H17+H21+H22</f>
        <v>5206.5476229447213</v>
      </c>
      <c r="I16" s="20">
        <f>I17+I21+I22</f>
        <v>152398.23698632029</v>
      </c>
      <c r="J16" s="20">
        <f>J17+J21+J22</f>
        <v>158348.07122506658</v>
      </c>
      <c r="K16" s="20">
        <f>K17+K21+K22</f>
        <v>164530.27675493047</v>
      </c>
    </row>
    <row r="17" spans="1:18" ht="23.25" customHeight="1" x14ac:dyDescent="0.25">
      <c r="A17" s="512"/>
      <c r="B17" s="5" t="s">
        <v>100</v>
      </c>
      <c r="C17" s="13" t="s">
        <v>228</v>
      </c>
      <c r="D17" s="5" t="s">
        <v>243</v>
      </c>
      <c r="E17" s="20">
        <f t="shared" ref="E17:K17" si="2">SUM(E18:E20)</f>
        <v>0</v>
      </c>
      <c r="F17" s="20">
        <f t="shared" si="2"/>
        <v>0</v>
      </c>
      <c r="G17" s="20">
        <f t="shared" si="2"/>
        <v>133168.21899152541</v>
      </c>
      <c r="H17" s="20">
        <f t="shared" si="2"/>
        <v>0</v>
      </c>
      <c r="I17" s="20">
        <f t="shared" si="2"/>
        <v>133168.21899152541</v>
      </c>
      <c r="J17" s="20">
        <f t="shared" si="2"/>
        <v>138361.77953219489</v>
      </c>
      <c r="K17" s="20">
        <f t="shared" si="2"/>
        <v>143757.88893395048</v>
      </c>
    </row>
    <row r="18" spans="1:18" ht="23.25" customHeight="1" x14ac:dyDescent="0.25">
      <c r="A18" s="512"/>
      <c r="B18" s="18" t="s">
        <v>244</v>
      </c>
      <c r="C18" s="4" t="s">
        <v>53</v>
      </c>
      <c r="D18" s="5" t="s">
        <v>243</v>
      </c>
      <c r="E18" s="20">
        <v>0</v>
      </c>
      <c r="F18" s="20">
        <v>0</v>
      </c>
      <c r="G18" s="20">
        <f>'[3]Водный тр-т'!$R$10/1000</f>
        <v>68488.86305932203</v>
      </c>
      <c r="H18" s="20">
        <v>0</v>
      </c>
      <c r="I18" s="20">
        <f>SUM(E18:H18)</f>
        <v>68488.86305932203</v>
      </c>
      <c r="J18" s="20">
        <f t="shared" ref="J18:K20" si="3">I18*1.039</f>
        <v>71159.92871863558</v>
      </c>
      <c r="K18" s="20">
        <f t="shared" si="3"/>
        <v>73935.165938662365</v>
      </c>
      <c r="L18" s="28" t="s">
        <v>245</v>
      </c>
    </row>
    <row r="19" spans="1:18" ht="23.25" customHeight="1" x14ac:dyDescent="0.25">
      <c r="A19" s="512"/>
      <c r="B19" s="5" t="s">
        <v>246</v>
      </c>
      <c r="C19" s="4" t="s">
        <v>55</v>
      </c>
      <c r="D19" s="5" t="s">
        <v>243</v>
      </c>
      <c r="E19" s="20">
        <v>0</v>
      </c>
      <c r="F19" s="20">
        <v>0</v>
      </c>
      <c r="G19" s="20">
        <f>'[3]Водный тр-т'!$R$6/1000</f>
        <v>64679.355932203391</v>
      </c>
      <c r="H19" s="20">
        <v>0</v>
      </c>
      <c r="I19" s="20">
        <f>SUM(E19:H19)</f>
        <v>64679.355932203391</v>
      </c>
      <c r="J19" s="20">
        <f t="shared" si="3"/>
        <v>67201.850813559315</v>
      </c>
      <c r="K19" s="20">
        <f t="shared" si="3"/>
        <v>69822.722995288117</v>
      </c>
    </row>
    <row r="20" spans="1:18" ht="23.25" customHeight="1" x14ac:dyDescent="0.25">
      <c r="A20" s="512"/>
      <c r="B20" s="5" t="s">
        <v>247</v>
      </c>
      <c r="C20" s="8" t="s">
        <v>57</v>
      </c>
      <c r="D20" s="5" t="s">
        <v>243</v>
      </c>
      <c r="E20" s="20">
        <v>0</v>
      </c>
      <c r="F20" s="20">
        <v>0</v>
      </c>
      <c r="G20" s="20">
        <f>'[3]Водный тр-т'!$R$16/1000</f>
        <v>0</v>
      </c>
      <c r="H20" s="20">
        <v>0</v>
      </c>
      <c r="I20" s="20">
        <f>SUM(E20:H20)</f>
        <v>0</v>
      </c>
      <c r="J20" s="20">
        <f t="shared" si="3"/>
        <v>0</v>
      </c>
      <c r="K20" s="20">
        <f t="shared" si="3"/>
        <v>0</v>
      </c>
      <c r="N20" s="2" t="s">
        <v>248</v>
      </c>
      <c r="O20" s="2" t="s">
        <v>249</v>
      </c>
      <c r="P20" s="2" t="s">
        <v>250</v>
      </c>
    </row>
    <row r="21" spans="1:18" ht="26.65" customHeight="1" x14ac:dyDescent="0.25">
      <c r="A21" s="512"/>
      <c r="B21" s="5" t="s">
        <v>102</v>
      </c>
      <c r="C21" s="4" t="s">
        <v>251</v>
      </c>
      <c r="D21" s="5" t="s">
        <v>243</v>
      </c>
      <c r="E21" s="20">
        <f>('[3]Аренда '!$U$39+'[3]Возмещение КУ'!$AF$28)/1000</f>
        <v>1715.3019905001852</v>
      </c>
      <c r="F21" s="20">
        <f>('[3]Аренда '!$V$39+'[3]Возмещение КУ'!$AH$28)/1000</f>
        <v>1688.990506238755</v>
      </c>
      <c r="G21" s="20">
        <f>('[3]Аренда '!$W$39+'[3]Возмещение КУ'!$AJ$28)/1000</f>
        <v>1648.1861886705551</v>
      </c>
      <c r="H21" s="20">
        <f>('[3]Аренда '!$X$39+'[3]Возмещение КУ'!$AL$28)/1000</f>
        <v>1695.2984704023479</v>
      </c>
      <c r="I21" s="20">
        <f>SUM(E21:H21)</f>
        <v>6747.777155811842</v>
      </c>
      <c r="J21" s="20">
        <f>N21*1.039+O21*1.052</f>
        <v>7017.2434611682847</v>
      </c>
      <c r="K21" s="20">
        <f>Q21*1.039+R21*1.052</f>
        <v>7297.5467082401874</v>
      </c>
      <c r="L21" s="28" t="s">
        <v>245</v>
      </c>
      <c r="M21" s="4" t="s">
        <v>252</v>
      </c>
      <c r="N21" s="10">
        <f>'[3]Аренда '!$Y$39/1000</f>
        <v>6262.93128813559</v>
      </c>
      <c r="O21" s="10">
        <f>'[3]Возмещение КУ'!$AN$28/1000</f>
        <v>484.84586767624279</v>
      </c>
      <c r="P21" s="10">
        <f>N21+O21</f>
        <v>6747.7771558118329</v>
      </c>
      <c r="Q21" s="2">
        <f>N21*1.039</f>
        <v>6507.1856083728771</v>
      </c>
      <c r="R21" s="2">
        <f>O21*1.052</f>
        <v>510.05785279540743</v>
      </c>
    </row>
    <row r="22" spans="1:18" ht="27.75" customHeight="1" x14ac:dyDescent="0.25">
      <c r="A22" s="512"/>
      <c r="B22" s="21" t="s">
        <v>103</v>
      </c>
      <c r="C22" s="4" t="s">
        <v>235</v>
      </c>
      <c r="D22" s="5" t="s">
        <v>243</v>
      </c>
      <c r="E22" s="20">
        <f>SUM(E23:E24)</f>
        <v>3505.7491271186445</v>
      </c>
      <c r="F22" s="20">
        <f>SUM(F23:F24)-0.01</f>
        <v>3177.8956949152544</v>
      </c>
      <c r="G22" s="20">
        <f>SUM(G23:G24)</f>
        <v>2287.33686440678</v>
      </c>
      <c r="H22" s="20">
        <f>SUM(H23:H24)</f>
        <v>3511.2491525423734</v>
      </c>
      <c r="I22" s="20">
        <f>SUM(I23:I24)</f>
        <v>12482.240838983053</v>
      </c>
      <c r="J22" s="20">
        <f>SUM(J23:J24)</f>
        <v>12969.048231703391</v>
      </c>
      <c r="K22" s="20">
        <f>SUM(K23:K24)</f>
        <v>13474.841112739821</v>
      </c>
    </row>
    <row r="23" spans="1:18" ht="23.25" customHeight="1" x14ac:dyDescent="0.25">
      <c r="A23" s="512"/>
      <c r="B23" s="21" t="s">
        <v>253</v>
      </c>
      <c r="C23" s="8" t="s">
        <v>237</v>
      </c>
      <c r="D23" s="5" t="s">
        <v>243</v>
      </c>
      <c r="E23" s="20">
        <f>'[3]заселяемость гостиницы'!$BF$58</f>
        <v>3053.5220000000004</v>
      </c>
      <c r="F23" s="20">
        <f>'[3]заселяемость гостиницы'!$BG$58</f>
        <v>2748.5836610169495</v>
      </c>
      <c r="G23" s="20">
        <f>'[3]заселяемость гостиницы'!$BH$58</f>
        <v>1950.2182203389832</v>
      </c>
      <c r="H23" s="20">
        <f>'[3]заселяемость гостиницы'!$BI$58</f>
        <v>3050.1898305084751</v>
      </c>
      <c r="I23" s="20">
        <f>SUM(E23:H23)</f>
        <v>10802.513711864409</v>
      </c>
      <c r="J23" s="20">
        <f>I23*1.039</f>
        <v>11223.81174662712</v>
      </c>
      <c r="K23" s="20">
        <f>J23*1.039</f>
        <v>11661.540404745576</v>
      </c>
    </row>
    <row r="24" spans="1:18" ht="23.25" customHeight="1" x14ac:dyDescent="0.25">
      <c r="A24" s="514"/>
      <c r="B24" s="21" t="s">
        <v>254</v>
      </c>
      <c r="C24" s="8" t="s">
        <v>240</v>
      </c>
      <c r="D24" s="5" t="s">
        <v>243</v>
      </c>
      <c r="E24" s="20">
        <f>[3]сауна!$BE$16/1000</f>
        <v>452.22712711864409</v>
      </c>
      <c r="F24" s="20">
        <f>[3]сауна!$BG$16/1000</f>
        <v>429.32203389830511</v>
      </c>
      <c r="G24" s="20">
        <f>[3]сауна!$BI$16/1000</f>
        <v>337.11864406779665</v>
      </c>
      <c r="H24" s="20">
        <f>[3]сауна!$BK$16/1000</f>
        <v>461.0593220338983</v>
      </c>
      <c r="I24" s="20">
        <f>SUM(E24:H24)</f>
        <v>1679.7271271186441</v>
      </c>
      <c r="J24" s="20">
        <f>I24*1.039</f>
        <v>1745.236485076271</v>
      </c>
      <c r="K24" s="20">
        <f>J24*1.039</f>
        <v>1813.3007079942454</v>
      </c>
      <c r="L24" s="2">
        <f>I24*1.2</f>
        <v>2015.6725525423728</v>
      </c>
    </row>
    <row r="25" spans="1:18" ht="24" customHeight="1" x14ac:dyDescent="0.25">
      <c r="A25" s="505">
        <v>3</v>
      </c>
      <c r="B25" s="515" t="s">
        <v>255</v>
      </c>
      <c r="C25" s="516"/>
      <c r="D25" s="5" t="s">
        <v>243</v>
      </c>
      <c r="E25" s="20" t="e">
        <f>'Р 3'!E372</f>
        <v>#REF!</v>
      </c>
      <c r="F25" s="20" t="e">
        <f>'Р 3'!F372</f>
        <v>#REF!</v>
      </c>
      <c r="G25" s="20" t="e">
        <f>'Р 3'!G372</f>
        <v>#REF!</v>
      </c>
      <c r="H25" s="20" t="e">
        <f>'Р 3'!H372</f>
        <v>#REF!</v>
      </c>
      <c r="I25" s="20" t="e">
        <f>'Р 3'!I372</f>
        <v>#REF!</v>
      </c>
      <c r="J25" s="20" t="e">
        <f>'Р 3'!J372</f>
        <v>#REF!</v>
      </c>
      <c r="K25" s="20" t="e">
        <f>'Р 3'!K372</f>
        <v>#REF!</v>
      </c>
      <c r="L25" s="29" t="e">
        <f>J25/I25</f>
        <v>#REF!</v>
      </c>
      <c r="M25" s="30" t="e">
        <f>K25/J25</f>
        <v>#REF!</v>
      </c>
    </row>
    <row r="26" spans="1:18" ht="23.25" customHeight="1" x14ac:dyDescent="0.25">
      <c r="A26" s="512"/>
      <c r="B26" s="5" t="s">
        <v>62</v>
      </c>
      <c r="C26" s="13" t="s">
        <v>13</v>
      </c>
      <c r="D26" s="5" t="s">
        <v>243</v>
      </c>
      <c r="E26" s="20" t="e">
        <f>#REF!</f>
        <v>#REF!</v>
      </c>
      <c r="F26" s="20" t="e">
        <f>#REF!</f>
        <v>#REF!</v>
      </c>
      <c r="G26" s="20" t="e">
        <f>#REF!+0.01</f>
        <v>#REF!</v>
      </c>
      <c r="H26" s="20" t="e">
        <f>#REF!</f>
        <v>#REF!</v>
      </c>
      <c r="I26" s="20" t="e">
        <f>SUM(E26:H26)-0.01</f>
        <v>#REF!</v>
      </c>
      <c r="J26" s="20" t="e">
        <f>I26*L25+0.01</f>
        <v>#REF!</v>
      </c>
      <c r="K26" s="20" t="e">
        <f>J26*M25-0.01</f>
        <v>#REF!</v>
      </c>
    </row>
    <row r="27" spans="1:18" ht="23.25" customHeight="1" x14ac:dyDescent="0.25">
      <c r="A27" s="512"/>
      <c r="B27" s="5" t="s">
        <v>64</v>
      </c>
      <c r="C27" s="8" t="s">
        <v>256</v>
      </c>
      <c r="D27" s="5" t="s">
        <v>243</v>
      </c>
      <c r="E27" s="20" t="e">
        <f>#REF!</f>
        <v>#REF!</v>
      </c>
      <c r="F27" s="20" t="e">
        <f>#REF!</f>
        <v>#REF!</v>
      </c>
      <c r="G27" s="20" t="e">
        <f>#REF!</f>
        <v>#REF!</v>
      </c>
      <c r="H27" s="20" t="e">
        <f>#REF!</f>
        <v>#REF!</v>
      </c>
      <c r="I27" s="20" t="e">
        <f>SUM(E27:H27)+0.01</f>
        <v>#REF!</v>
      </c>
      <c r="J27" s="20" t="e">
        <f>I27*L25</f>
        <v>#REF!</v>
      </c>
      <c r="K27" s="20" t="e">
        <f>J27*M25</f>
        <v>#REF!</v>
      </c>
    </row>
    <row r="28" spans="1:18" ht="23.25" customHeight="1" x14ac:dyDescent="0.25">
      <c r="A28" s="514"/>
      <c r="B28" s="21" t="s">
        <v>122</v>
      </c>
      <c r="C28" s="8" t="s">
        <v>59</v>
      </c>
      <c r="D28" s="5" t="s">
        <v>243</v>
      </c>
      <c r="E28" s="20" t="e">
        <f>#REF!</f>
        <v>#REF!</v>
      </c>
      <c r="F28" s="20" t="e">
        <f>#REF!</f>
        <v>#REF!</v>
      </c>
      <c r="G28" s="20" t="e">
        <f>#REF!</f>
        <v>#REF!</v>
      </c>
      <c r="H28" s="20" t="e">
        <f>#REF!</f>
        <v>#REF!</v>
      </c>
      <c r="I28" s="20" t="e">
        <f>SUM(E28:H28)</f>
        <v>#REF!</v>
      </c>
      <c r="J28" s="20" t="e">
        <f>I28*L25</f>
        <v>#REF!</v>
      </c>
      <c r="K28" s="20" t="e">
        <f>J28*M25</f>
        <v>#REF!</v>
      </c>
    </row>
    <row r="29" spans="1:18" ht="23.25" customHeight="1" x14ac:dyDescent="0.25">
      <c r="A29" s="5">
        <v>4</v>
      </c>
      <c r="B29" s="515" t="s">
        <v>257</v>
      </c>
      <c r="C29" s="516"/>
      <c r="D29" s="5" t="s">
        <v>243</v>
      </c>
      <c r="E29" s="20" t="e">
        <f>E16-E25</f>
        <v>#REF!</v>
      </c>
      <c r="F29" s="20" t="e">
        <f>F16-F25+0.01</f>
        <v>#REF!</v>
      </c>
      <c r="G29" s="20" t="e">
        <f>G16-G25-0.01</f>
        <v>#REF!</v>
      </c>
      <c r="H29" s="20" t="e">
        <f>H16-H25</f>
        <v>#REF!</v>
      </c>
      <c r="I29" s="20" t="e">
        <f>I16-I25+0.01</f>
        <v>#REF!</v>
      </c>
      <c r="J29" s="20" t="e">
        <f>J16-J25-0.01</f>
        <v>#REF!</v>
      </c>
      <c r="K29" s="20" t="e">
        <f>K16-K25</f>
        <v>#REF!</v>
      </c>
    </row>
    <row r="30" spans="1:18" ht="23.25" customHeight="1" x14ac:dyDescent="0.25">
      <c r="A30" s="5">
        <v>5</v>
      </c>
      <c r="B30" s="515" t="s">
        <v>258</v>
      </c>
      <c r="C30" s="516"/>
      <c r="D30" s="5" t="s">
        <v>243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</row>
    <row r="31" spans="1:18" ht="23.25" customHeight="1" x14ac:dyDescent="0.25">
      <c r="A31" s="5">
        <v>6</v>
      </c>
      <c r="B31" s="515" t="s">
        <v>259</v>
      </c>
      <c r="C31" s="516"/>
      <c r="D31" s="5" t="s">
        <v>243</v>
      </c>
      <c r="E31" s="20" t="e">
        <f t="shared" ref="E31:K31" si="4">E29-E30</f>
        <v>#REF!</v>
      </c>
      <c r="F31" s="20" t="e">
        <f t="shared" si="4"/>
        <v>#REF!</v>
      </c>
      <c r="G31" s="20" t="e">
        <f t="shared" si="4"/>
        <v>#REF!</v>
      </c>
      <c r="H31" s="20" t="e">
        <f t="shared" si="4"/>
        <v>#REF!</v>
      </c>
      <c r="I31" s="20" t="e">
        <f t="shared" si="4"/>
        <v>#REF!</v>
      </c>
      <c r="J31" s="20" t="e">
        <f t="shared" si="4"/>
        <v>#REF!</v>
      </c>
      <c r="K31" s="20" t="e">
        <f t="shared" si="4"/>
        <v>#REF!</v>
      </c>
    </row>
    <row r="32" spans="1:18" ht="23.25" customHeight="1" x14ac:dyDescent="0.25">
      <c r="A32" s="16">
        <v>7</v>
      </c>
      <c r="B32" s="515" t="s">
        <v>260</v>
      </c>
      <c r="C32" s="516"/>
      <c r="D32" s="5" t="s">
        <v>243</v>
      </c>
      <c r="E32" s="20">
        <v>0</v>
      </c>
      <c r="F32" s="20">
        <v>0</v>
      </c>
      <c r="G32" s="20">
        <f>O32</f>
        <v>2100</v>
      </c>
      <c r="H32" s="20">
        <v>0</v>
      </c>
      <c r="I32" s="20">
        <f>SUM(E32:H32)</f>
        <v>2100</v>
      </c>
      <c r="J32" s="20">
        <v>0</v>
      </c>
      <c r="K32" s="20">
        <v>0</v>
      </c>
      <c r="L32" s="31" t="s">
        <v>261</v>
      </c>
      <c r="M32" s="22"/>
      <c r="N32" s="22"/>
      <c r="O32" s="22">
        <v>2100</v>
      </c>
      <c r="P32" s="22"/>
    </row>
    <row r="33" spans="1:19" ht="23.25" customHeight="1" x14ac:dyDescent="0.25">
      <c r="A33" s="5">
        <v>8</v>
      </c>
      <c r="B33" s="515" t="s">
        <v>262</v>
      </c>
      <c r="C33" s="516"/>
      <c r="D33" s="5" t="s">
        <v>243</v>
      </c>
      <c r="E33" s="20">
        <f>SUM(M34:M38)</f>
        <v>85</v>
      </c>
      <c r="F33" s="20">
        <f>SUM(N34:N38)</f>
        <v>86</v>
      </c>
      <c r="G33" s="20">
        <f>SUM(O34:O38)</f>
        <v>2185</v>
      </c>
      <c r="H33" s="20">
        <f>SUM(P34:P38)</f>
        <v>94</v>
      </c>
      <c r="I33" s="20">
        <f>SUM(E33:H33)</f>
        <v>2450</v>
      </c>
      <c r="J33" s="20">
        <f>R39</f>
        <v>362.26</v>
      </c>
      <c r="K33" s="20">
        <f>S39</f>
        <v>376.03713999999991</v>
      </c>
    </row>
    <row r="34" spans="1:19" ht="23.25" hidden="1" customHeight="1" x14ac:dyDescent="0.25">
      <c r="A34" s="5"/>
      <c r="B34" s="32"/>
      <c r="C34" s="33"/>
      <c r="D34" s="5"/>
      <c r="E34" s="20"/>
      <c r="F34" s="20"/>
      <c r="G34" s="20"/>
      <c r="H34" s="20"/>
      <c r="I34" s="20"/>
      <c r="J34" s="20"/>
      <c r="K34" s="20"/>
      <c r="L34" s="22" t="s">
        <v>248</v>
      </c>
      <c r="M34" s="22">
        <v>35</v>
      </c>
      <c r="N34" s="22">
        <v>35</v>
      </c>
      <c r="O34" s="22">
        <v>35</v>
      </c>
      <c r="P34" s="22">
        <v>35</v>
      </c>
      <c r="R34" s="15">
        <f>(M34+N34+O34+P34)*1.039</f>
        <v>145.45999999999998</v>
      </c>
      <c r="S34" s="15">
        <f>R34*1.039</f>
        <v>151.13293999999996</v>
      </c>
    </row>
    <row r="35" spans="1:19" ht="23.25" hidden="1" customHeight="1" x14ac:dyDescent="0.25">
      <c r="A35" s="5"/>
      <c r="B35" s="32"/>
      <c r="C35" s="33"/>
      <c r="D35" s="5"/>
      <c r="E35" s="20"/>
      <c r="F35" s="20"/>
      <c r="G35" s="20"/>
      <c r="H35" s="20"/>
      <c r="I35" s="20"/>
      <c r="J35" s="20"/>
      <c r="K35" s="20"/>
      <c r="L35" s="22" t="s">
        <v>263</v>
      </c>
      <c r="M35" s="22">
        <v>50</v>
      </c>
      <c r="N35" s="22">
        <v>50</v>
      </c>
      <c r="O35" s="22">
        <v>50</v>
      </c>
      <c r="P35" s="22">
        <v>50</v>
      </c>
      <c r="R35" s="15">
        <f>(M35+N35+O35+P35)*1.039</f>
        <v>207.79999999999998</v>
      </c>
      <c r="S35" s="15">
        <f>R35*1.039</f>
        <v>215.90419999999997</v>
      </c>
    </row>
    <row r="36" spans="1:19" ht="23.25" hidden="1" customHeight="1" x14ac:dyDescent="0.25">
      <c r="A36" s="5"/>
      <c r="B36" s="32"/>
      <c r="C36" s="33"/>
      <c r="D36" s="5"/>
      <c r="E36" s="20"/>
      <c r="F36" s="20"/>
      <c r="G36" s="20"/>
      <c r="H36" s="20"/>
      <c r="I36" s="20"/>
      <c r="J36" s="20"/>
      <c r="K36" s="20"/>
      <c r="L36" s="34" t="s">
        <v>264</v>
      </c>
      <c r="M36" s="34"/>
      <c r="N36" s="22"/>
      <c r="O36" s="22"/>
      <c r="P36" s="35">
        <f>'НГ подарки'!E43</f>
        <v>9</v>
      </c>
      <c r="R36" s="15">
        <f>P36</f>
        <v>9</v>
      </c>
      <c r="S36" s="15">
        <f>R36</f>
        <v>9</v>
      </c>
    </row>
    <row r="37" spans="1:19" ht="23.25" hidden="1" customHeight="1" x14ac:dyDescent="0.25">
      <c r="A37" s="5"/>
      <c r="B37" s="32"/>
      <c r="C37" s="33"/>
      <c r="D37" s="5"/>
      <c r="E37" s="20"/>
      <c r="F37" s="20"/>
      <c r="G37" s="20"/>
      <c r="H37" s="20"/>
      <c r="I37" s="20"/>
      <c r="J37" s="20"/>
      <c r="K37" s="20"/>
      <c r="L37" s="31" t="s">
        <v>265</v>
      </c>
      <c r="M37" s="31"/>
      <c r="N37" s="22">
        <v>1</v>
      </c>
      <c r="O37" s="22"/>
      <c r="P37" s="22"/>
    </row>
    <row r="38" spans="1:19" ht="23.25" hidden="1" customHeight="1" x14ac:dyDescent="0.25">
      <c r="A38" s="5"/>
      <c r="B38" s="32"/>
      <c r="C38" s="33"/>
      <c r="D38" s="5"/>
      <c r="E38" s="20"/>
      <c r="F38" s="20"/>
      <c r="G38" s="20"/>
      <c r="H38" s="20"/>
      <c r="I38" s="20"/>
      <c r="J38" s="20"/>
      <c r="K38" s="20"/>
      <c r="L38" s="31" t="s">
        <v>266</v>
      </c>
      <c r="M38" s="31"/>
      <c r="N38" s="22"/>
      <c r="O38" s="22">
        <v>2100</v>
      </c>
      <c r="P38" s="22"/>
    </row>
    <row r="39" spans="1:19" ht="23.25" customHeight="1" x14ac:dyDescent="0.25">
      <c r="A39" s="5">
        <v>9</v>
      </c>
      <c r="B39" s="515" t="s">
        <v>267</v>
      </c>
      <c r="C39" s="516"/>
      <c r="D39" s="5" t="s">
        <v>243</v>
      </c>
      <c r="E39" s="20" t="e">
        <f t="shared" ref="E39:K39" si="5">E31+E32-E33</f>
        <v>#REF!</v>
      </c>
      <c r="F39" s="20" t="e">
        <f t="shared" si="5"/>
        <v>#REF!</v>
      </c>
      <c r="G39" s="20" t="e">
        <f t="shared" si="5"/>
        <v>#REF!</v>
      </c>
      <c r="H39" s="20" t="e">
        <f t="shared" si="5"/>
        <v>#REF!</v>
      </c>
      <c r="I39" s="20" t="e">
        <f t="shared" si="5"/>
        <v>#REF!</v>
      </c>
      <c r="J39" s="20" t="e">
        <f t="shared" si="5"/>
        <v>#REF!</v>
      </c>
      <c r="K39" s="20" t="e">
        <f t="shared" si="5"/>
        <v>#REF!</v>
      </c>
      <c r="R39" s="15">
        <f>R34+R35+R36</f>
        <v>362.26</v>
      </c>
      <c r="S39" s="15">
        <f>S34+S35+S36</f>
        <v>376.03713999999991</v>
      </c>
    </row>
    <row r="40" spans="1:19" ht="23.25" customHeight="1" x14ac:dyDescent="0.25">
      <c r="A40" s="5">
        <v>10</v>
      </c>
      <c r="B40" s="515" t="s">
        <v>268</v>
      </c>
      <c r="C40" s="516"/>
      <c r="D40" s="5" t="s">
        <v>243</v>
      </c>
      <c r="E40" s="20">
        <v>0</v>
      </c>
      <c r="F40" s="20">
        <v>0</v>
      </c>
      <c r="G40" s="20">
        <v>0</v>
      </c>
      <c r="H40" s="20">
        <v>0</v>
      </c>
      <c r="I40" s="20" t="e">
        <f>I39*0.2</f>
        <v>#REF!</v>
      </c>
      <c r="J40" s="20" t="e">
        <f>J39*0.2</f>
        <v>#REF!</v>
      </c>
      <c r="K40" s="20" t="e">
        <f>K39*0.2</f>
        <v>#REF!</v>
      </c>
    </row>
    <row r="41" spans="1:19" ht="23.25" customHeight="1" x14ac:dyDescent="0.25">
      <c r="A41" s="5">
        <v>11</v>
      </c>
      <c r="B41" s="515" t="s">
        <v>269</v>
      </c>
      <c r="C41" s="516"/>
      <c r="D41" s="5" t="s">
        <v>243</v>
      </c>
      <c r="E41" s="20">
        <v>0</v>
      </c>
      <c r="F41" s="20">
        <v>0</v>
      </c>
      <c r="G41" s="20">
        <v>0</v>
      </c>
      <c r="H41" s="20">
        <v>0</v>
      </c>
      <c r="I41" s="20" t="e">
        <f>I39-I40-0.01</f>
        <v>#REF!</v>
      </c>
      <c r="J41" s="20" t="e">
        <f>J39-J40+0.01</f>
        <v>#REF!</v>
      </c>
      <c r="K41" s="20" t="e">
        <f>K39-K40</f>
        <v>#REF!</v>
      </c>
    </row>
    <row r="42" spans="1:19" ht="23.25" customHeight="1" x14ac:dyDescent="0.25">
      <c r="A42" s="5">
        <v>12</v>
      </c>
      <c r="B42" s="515" t="s">
        <v>170</v>
      </c>
      <c r="C42" s="516"/>
      <c r="D42" s="5" t="s">
        <v>243</v>
      </c>
      <c r="E42" s="20">
        <v>0</v>
      </c>
      <c r="F42" s="20">
        <v>0</v>
      </c>
      <c r="G42" s="20">
        <v>0</v>
      </c>
      <c r="H42" s="20">
        <v>0</v>
      </c>
      <c r="I42" s="20" t="e">
        <f>I41*0.05</f>
        <v>#REF!</v>
      </c>
      <c r="J42" s="20" t="e">
        <f>J41*0.05</f>
        <v>#REF!</v>
      </c>
      <c r="K42" s="20" t="e">
        <f>K41*0.05</f>
        <v>#REF!</v>
      </c>
    </row>
    <row r="43" spans="1:19" ht="23.25" customHeight="1" x14ac:dyDescent="0.25">
      <c r="A43" s="5">
        <v>13</v>
      </c>
      <c r="B43" s="515" t="s">
        <v>270</v>
      </c>
      <c r="C43" s="516"/>
      <c r="D43" s="5" t="s">
        <v>243</v>
      </c>
      <c r="E43" s="20">
        <f t="shared" ref="E43:K43" si="6">E41-E42</f>
        <v>0</v>
      </c>
      <c r="F43" s="20">
        <f t="shared" si="6"/>
        <v>0</v>
      </c>
      <c r="G43" s="20">
        <f t="shared" si="6"/>
        <v>0</v>
      </c>
      <c r="H43" s="20">
        <f t="shared" si="6"/>
        <v>0</v>
      </c>
      <c r="I43" s="20" t="e">
        <f t="shared" si="6"/>
        <v>#REF!</v>
      </c>
      <c r="J43" s="20" t="e">
        <f t="shared" si="6"/>
        <v>#REF!</v>
      </c>
      <c r="K43" s="20" t="e">
        <f t="shared" si="6"/>
        <v>#REF!</v>
      </c>
    </row>
    <row r="46" spans="1:19" x14ac:dyDescent="0.25">
      <c r="E46" s="36"/>
      <c r="F46" s="36"/>
      <c r="G46" s="36"/>
      <c r="H46" s="36"/>
      <c r="I46" s="36"/>
    </row>
    <row r="48" spans="1:19" x14ac:dyDescent="0.25">
      <c r="E48" s="36"/>
      <c r="F48" s="36"/>
      <c r="G48" s="36"/>
      <c r="H48" s="36"/>
    </row>
  </sheetData>
  <mergeCells count="24">
    <mergeCell ref="B25:C25"/>
    <mergeCell ref="B16:C16"/>
    <mergeCell ref="B6:C6"/>
    <mergeCell ref="A7:A15"/>
    <mergeCell ref="A16:A24"/>
    <mergeCell ref="A25:A28"/>
    <mergeCell ref="B7:C7"/>
    <mergeCell ref="B33:C33"/>
    <mergeCell ref="B32:C32"/>
    <mergeCell ref="B31:C31"/>
    <mergeCell ref="B30:C30"/>
    <mergeCell ref="B29:C29"/>
    <mergeCell ref="B43:C43"/>
    <mergeCell ref="B42:C42"/>
    <mergeCell ref="B41:C41"/>
    <mergeCell ref="B40:C40"/>
    <mergeCell ref="B39:C39"/>
    <mergeCell ref="A1:K1"/>
    <mergeCell ref="A2:K2"/>
    <mergeCell ref="J4:K4"/>
    <mergeCell ref="E4:I4"/>
    <mergeCell ref="A4:A5"/>
    <mergeCell ref="D4:D5"/>
    <mergeCell ref="B4:C5"/>
  </mergeCells>
  <pageMargins left="0.39370077848434398" right="0.39370077848434398" top="0.78740155696868896" bottom="0.39370077848434398" header="0.31496062874794001" footer="0.31496062874794001"/>
  <pageSetup scale="5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391"/>
  <sheetViews>
    <sheetView workbookViewId="0">
      <pane xSplit="3" ySplit="4" topLeftCell="D5" activePane="bottomRight" state="frozen"/>
      <selection pane="topRight"/>
      <selection pane="bottomLeft"/>
      <selection pane="bottomRight" activeCell="D5" sqref="D5"/>
    </sheetView>
  </sheetViews>
  <sheetFormatPr defaultColWidth="9.140625" defaultRowHeight="18" customHeight="1" x14ac:dyDescent="0.25"/>
  <cols>
    <col min="1" max="1" width="6.7109375" style="2" customWidth="1"/>
    <col min="2" max="2" width="8.7109375" style="2" customWidth="1"/>
    <col min="3" max="3" width="73.140625" style="2" customWidth="1"/>
    <col min="4" max="4" width="10.42578125" style="2" customWidth="1"/>
    <col min="5" max="11" width="12.7109375" style="2" customWidth="1"/>
    <col min="12" max="12" width="8.85546875" style="2" hidden="1" customWidth="1"/>
    <col min="13" max="13" width="71.42578125" style="2" hidden="1" customWidth="1"/>
    <col min="14" max="14" width="12" style="10" hidden="1" customWidth="1"/>
    <col min="15" max="15" width="11.5703125" style="10" hidden="1" customWidth="1"/>
    <col min="16" max="16" width="13.140625" style="10" hidden="1" customWidth="1"/>
    <col min="17" max="17" width="11.140625" style="10" hidden="1" customWidth="1"/>
    <col min="18" max="18" width="12.85546875" style="10" hidden="1" customWidth="1"/>
    <col min="19" max="19" width="48.5703125" style="37" hidden="1" customWidth="1"/>
    <col min="20" max="23" width="11.5703125" style="10" hidden="1" customWidth="1"/>
    <col min="24" max="24" width="12.7109375" style="10" hidden="1" customWidth="1"/>
    <col min="25" max="27" width="9.140625" style="2" hidden="1" customWidth="1"/>
    <col min="28" max="49" width="9.140625" style="2" customWidth="1"/>
    <col min="50" max="50" width="9.140625" style="2" bestFit="1" customWidth="1"/>
    <col min="51" max="16384" width="9.140625" style="2"/>
  </cols>
  <sheetData>
    <row r="1" spans="1:26" ht="12.75" x14ac:dyDescent="0.25">
      <c r="A1" s="504" t="s">
        <v>271</v>
      </c>
      <c r="B1" s="504"/>
      <c r="C1" s="504"/>
      <c r="D1" s="504"/>
      <c r="E1" s="504"/>
      <c r="F1" s="504"/>
      <c r="G1" s="504"/>
      <c r="H1" s="504"/>
      <c r="I1" s="504"/>
      <c r="J1" s="504"/>
      <c r="K1" s="504"/>
      <c r="L1" s="504"/>
    </row>
    <row r="3" spans="1:26" ht="12.75" x14ac:dyDescent="0.25">
      <c r="A3" s="505" t="s">
        <v>36</v>
      </c>
      <c r="B3" s="505" t="s">
        <v>37</v>
      </c>
      <c r="C3" s="508"/>
      <c r="D3" s="505" t="s">
        <v>226</v>
      </c>
      <c r="E3" s="505" t="s">
        <v>38</v>
      </c>
      <c r="F3" s="507"/>
      <c r="G3" s="507"/>
      <c r="H3" s="507"/>
      <c r="I3" s="506"/>
      <c r="J3" s="505" t="s">
        <v>39</v>
      </c>
      <c r="K3" s="506"/>
      <c r="L3" s="5"/>
      <c r="M3" s="22" t="s">
        <v>272</v>
      </c>
      <c r="N3" s="519" t="s">
        <v>38</v>
      </c>
      <c r="O3" s="520"/>
      <c r="P3" s="520"/>
      <c r="Q3" s="520"/>
      <c r="R3" s="521"/>
      <c r="S3" s="4"/>
      <c r="T3" s="519" t="s">
        <v>273</v>
      </c>
      <c r="U3" s="520"/>
      <c r="V3" s="520"/>
      <c r="W3" s="520"/>
      <c r="X3" s="521"/>
    </row>
    <row r="4" spans="1:26" ht="12.75" x14ac:dyDescent="0.25">
      <c r="A4" s="514"/>
      <c r="B4" s="509"/>
      <c r="C4" s="510"/>
      <c r="D4" s="514"/>
      <c r="E4" s="5" t="s">
        <v>40</v>
      </c>
      <c r="F4" s="5" t="s">
        <v>41</v>
      </c>
      <c r="G4" s="5" t="s">
        <v>42</v>
      </c>
      <c r="H4" s="5" t="s">
        <v>43</v>
      </c>
      <c r="I4" s="5" t="s">
        <v>44</v>
      </c>
      <c r="J4" s="5" t="s">
        <v>45</v>
      </c>
      <c r="K4" s="5" t="s">
        <v>46</v>
      </c>
      <c r="L4" s="5"/>
      <c r="M4" s="22"/>
      <c r="N4" s="38" t="s">
        <v>40</v>
      </c>
      <c r="O4" s="38" t="s">
        <v>41</v>
      </c>
      <c r="P4" s="38" t="s">
        <v>42</v>
      </c>
      <c r="Q4" s="38" t="s">
        <v>43</v>
      </c>
      <c r="R4" s="38" t="s">
        <v>44</v>
      </c>
      <c r="S4" s="4"/>
      <c r="T4" s="38" t="s">
        <v>40</v>
      </c>
      <c r="U4" s="38" t="s">
        <v>41</v>
      </c>
      <c r="V4" s="38" t="s">
        <v>42</v>
      </c>
      <c r="W4" s="38" t="s">
        <v>43</v>
      </c>
      <c r="X4" s="38" t="s">
        <v>44</v>
      </c>
    </row>
    <row r="5" spans="1:26" ht="20.25" customHeight="1" x14ac:dyDescent="0.25">
      <c r="A5" s="5">
        <v>1</v>
      </c>
      <c r="B5" s="505">
        <v>2</v>
      </c>
      <c r="C5" s="506"/>
      <c r="D5" s="5">
        <v>3</v>
      </c>
      <c r="E5" s="5">
        <v>4</v>
      </c>
      <c r="F5" s="5">
        <v>5</v>
      </c>
      <c r="G5" s="5">
        <v>6</v>
      </c>
      <c r="H5" s="5">
        <v>7</v>
      </c>
      <c r="I5" s="5">
        <v>8</v>
      </c>
      <c r="J5" s="5">
        <v>9</v>
      </c>
      <c r="K5" s="5">
        <v>10</v>
      </c>
      <c r="L5" s="5"/>
      <c r="M5" s="22"/>
      <c r="N5" s="39"/>
      <c r="O5" s="39"/>
      <c r="P5" s="39"/>
      <c r="Q5" s="39"/>
      <c r="R5" s="39"/>
      <c r="S5" s="4"/>
      <c r="T5" s="39"/>
      <c r="U5" s="39"/>
      <c r="V5" s="39"/>
      <c r="W5" s="39"/>
      <c r="X5" s="39"/>
    </row>
    <row r="6" spans="1:26" ht="12.75" x14ac:dyDescent="0.25">
      <c r="A6" s="505">
        <v>1</v>
      </c>
      <c r="B6" s="515" t="s">
        <v>274</v>
      </c>
      <c r="C6" s="516"/>
      <c r="D6" s="5" t="s">
        <v>243</v>
      </c>
      <c r="E6" s="26">
        <f t="shared" ref="E6:K6" si="0">SUM(E7:E9)</f>
        <v>0</v>
      </c>
      <c r="F6" s="26">
        <f t="shared" si="0"/>
        <v>0</v>
      </c>
      <c r="G6" s="26">
        <f t="shared" si="0"/>
        <v>28725.731019999999</v>
      </c>
      <c r="H6" s="26">
        <f t="shared" si="0"/>
        <v>0</v>
      </c>
      <c r="I6" s="26">
        <f t="shared" si="0"/>
        <v>28725.731019999999</v>
      </c>
      <c r="J6" s="26">
        <f t="shared" si="0"/>
        <v>29880.99173346</v>
      </c>
      <c r="K6" s="26">
        <f t="shared" si="0"/>
        <v>31083.100768229575</v>
      </c>
      <c r="L6" s="26"/>
      <c r="M6" s="22"/>
      <c r="N6" s="39"/>
      <c r="O6" s="39"/>
      <c r="P6" s="39"/>
      <c r="Q6" s="39"/>
      <c r="R6" s="39"/>
      <c r="S6" s="4"/>
      <c r="T6" s="39"/>
      <c r="U6" s="39"/>
      <c r="V6" s="39"/>
      <c r="W6" s="39"/>
      <c r="X6" s="39"/>
    </row>
    <row r="7" spans="1:26" ht="20.25" customHeight="1" x14ac:dyDescent="0.25">
      <c r="A7" s="512"/>
      <c r="B7" s="5" t="s">
        <v>51</v>
      </c>
      <c r="C7" s="8" t="s">
        <v>108</v>
      </c>
      <c r="D7" s="5" t="s">
        <v>243</v>
      </c>
      <c r="E7" s="26">
        <v>0</v>
      </c>
      <c r="F7" s="26">
        <v>0</v>
      </c>
      <c r="G7" s="26">
        <f>P7</f>
        <v>1249.68102</v>
      </c>
      <c r="H7" s="26">
        <v>0</v>
      </c>
      <c r="I7" s="26">
        <f>E7+F7+G7+H7</f>
        <v>1249.68102</v>
      </c>
      <c r="J7" s="26">
        <f>I7*1.023</f>
        <v>1278.4236834599999</v>
      </c>
      <c r="K7" s="26">
        <f>J7*1.023</f>
        <v>1307.8274281795798</v>
      </c>
      <c r="L7" s="26" t="s">
        <v>51</v>
      </c>
      <c r="M7" s="13" t="s">
        <v>275</v>
      </c>
      <c r="N7" s="39"/>
      <c r="O7" s="39"/>
      <c r="P7" s="39">
        <f>1563*799.54/1000</f>
        <v>1249.68102</v>
      </c>
      <c r="Q7" s="39"/>
      <c r="R7" s="39">
        <f>SUM(N7:Q7)</f>
        <v>1249.68102</v>
      </c>
      <c r="S7" s="4" t="s">
        <v>276</v>
      </c>
      <c r="T7" s="39"/>
      <c r="U7" s="39"/>
      <c r="V7" s="39">
        <f>P7*20%</f>
        <v>249.936204</v>
      </c>
      <c r="W7" s="39"/>
      <c r="X7" s="39">
        <f>SUM(T7:W7)</f>
        <v>249.936204</v>
      </c>
      <c r="Y7" s="2">
        <f>P7*1.2</f>
        <v>1499.6172239999999</v>
      </c>
      <c r="Z7" s="2">
        <f>Y7*20/120</f>
        <v>249.93620399999998</v>
      </c>
    </row>
    <row r="8" spans="1:26" ht="20.25" customHeight="1" x14ac:dyDescent="0.25">
      <c r="A8" s="512"/>
      <c r="B8" s="5" t="s">
        <v>58</v>
      </c>
      <c r="C8" s="8" t="s">
        <v>110</v>
      </c>
      <c r="D8" s="5" t="s">
        <v>243</v>
      </c>
      <c r="E8" s="26">
        <v>0</v>
      </c>
      <c r="F8" s="26">
        <v>0</v>
      </c>
      <c r="G8" s="26">
        <f>P8</f>
        <v>27476.05</v>
      </c>
      <c r="H8" s="26">
        <v>0</v>
      </c>
      <c r="I8" s="26">
        <f>E8+F8+G8+H8</f>
        <v>27476.05</v>
      </c>
      <c r="J8" s="26">
        <f>I8*1.041</f>
        <v>28602.568049999998</v>
      </c>
      <c r="K8" s="26">
        <f>J8*1.041</f>
        <v>29775.273340049996</v>
      </c>
      <c r="L8" s="26" t="s">
        <v>58</v>
      </c>
      <c r="M8" s="13" t="s">
        <v>277</v>
      </c>
      <c r="N8" s="39"/>
      <c r="O8" s="39"/>
      <c r="P8" s="39">
        <f>500*54952.1/1000</f>
        <v>27476.05</v>
      </c>
      <c r="Q8" s="39"/>
      <c r="R8" s="39">
        <f>SUM(N8:Q8)</f>
        <v>27476.05</v>
      </c>
      <c r="S8" s="4" t="s">
        <v>278</v>
      </c>
      <c r="T8" s="39"/>
      <c r="U8" s="39"/>
      <c r="V8" s="39">
        <f>P8*20%</f>
        <v>5495.21</v>
      </c>
      <c r="W8" s="39"/>
      <c r="X8" s="39">
        <f>SUM(T8:W8)</f>
        <v>5495.21</v>
      </c>
    </row>
    <row r="9" spans="1:26" ht="12.75" x14ac:dyDescent="0.25">
      <c r="A9" s="514"/>
      <c r="B9" s="5" t="s">
        <v>89</v>
      </c>
      <c r="C9" s="8" t="s">
        <v>112</v>
      </c>
      <c r="D9" s="5" t="s">
        <v>243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/>
      <c r="M9" s="22"/>
      <c r="N9" s="39"/>
      <c r="O9" s="39"/>
      <c r="P9" s="39"/>
      <c r="Q9" s="39"/>
      <c r="R9" s="39"/>
      <c r="S9" s="4"/>
      <c r="T9" s="39"/>
      <c r="U9" s="39"/>
      <c r="V9" s="39"/>
      <c r="W9" s="39"/>
      <c r="X9" s="39"/>
    </row>
    <row r="10" spans="1:26" ht="21" customHeight="1" x14ac:dyDescent="0.25">
      <c r="A10" s="505">
        <v>2</v>
      </c>
      <c r="B10" s="515" t="s">
        <v>279</v>
      </c>
      <c r="C10" s="516"/>
      <c r="D10" s="5" t="s">
        <v>243</v>
      </c>
      <c r="E10" s="26">
        <f>SUM(E11:E55)</f>
        <v>337.29428000000001</v>
      </c>
      <c r="F10" s="26">
        <f>SUM(F11:F55)+0.01</f>
        <v>1089.1931700000002</v>
      </c>
      <c r="G10" s="26">
        <f>SUM(G11:G55)</f>
        <v>4358.0869819999998</v>
      </c>
      <c r="H10" s="26">
        <f>SUM(H11:H55)</f>
        <v>477.02524</v>
      </c>
      <c r="I10" s="26">
        <f>SUM(E10:H10)</f>
        <v>6261.5996720000003</v>
      </c>
      <c r="J10" s="26">
        <f>SUM(J11:J55)+0.01</f>
        <v>6484.5619530920003</v>
      </c>
      <c r="K10" s="26">
        <f>SUM(K11:K55)+0.01</f>
        <v>6730.3719081887712</v>
      </c>
      <c r="L10" s="26"/>
      <c r="M10" s="22"/>
      <c r="N10" s="39"/>
      <c r="O10" s="39"/>
      <c r="P10" s="39"/>
      <c r="Q10" s="39"/>
      <c r="R10" s="39"/>
      <c r="S10" s="4"/>
      <c r="T10" s="39"/>
      <c r="U10" s="39"/>
      <c r="V10" s="39"/>
      <c r="W10" s="39"/>
      <c r="X10" s="39"/>
    </row>
    <row r="11" spans="1:26" ht="18.75" customHeight="1" x14ac:dyDescent="0.25">
      <c r="A11" s="512"/>
      <c r="B11" s="5" t="s">
        <v>100</v>
      </c>
      <c r="C11" s="8" t="s">
        <v>280</v>
      </c>
      <c r="D11" s="5" t="s">
        <v>243</v>
      </c>
      <c r="E11" s="20">
        <f>N11</f>
        <v>7.12</v>
      </c>
      <c r="F11" s="20">
        <f>O11</f>
        <v>468.34429</v>
      </c>
      <c r="G11" s="20">
        <f>P11</f>
        <v>583.81353000000001</v>
      </c>
      <c r="H11" s="26">
        <f>Q11</f>
        <v>4.09</v>
      </c>
      <c r="I11" s="26">
        <f>SUM(E11:H11)-0.01</f>
        <v>1063.3578199999999</v>
      </c>
      <c r="J11" s="26">
        <f>I11*1.041</f>
        <v>1106.9554906199999</v>
      </c>
      <c r="K11" s="26">
        <f>J11*1.041</f>
        <v>1152.3406657354199</v>
      </c>
      <c r="L11" s="16" t="s">
        <v>100</v>
      </c>
      <c r="M11" s="40" t="s">
        <v>280</v>
      </c>
      <c r="N11" s="41">
        <f>SUM(N12:N14)</f>
        <v>7.12</v>
      </c>
      <c r="O11" s="41">
        <f>SUM(O12:O14)</f>
        <v>468.34429</v>
      </c>
      <c r="P11" s="41">
        <f>SUM(P12:P14)</f>
        <v>583.81353000000001</v>
      </c>
      <c r="Q11" s="41">
        <f>SUM(Q12:Q14)</f>
        <v>4.09</v>
      </c>
      <c r="R11" s="41">
        <f t="shared" ref="R11:R23" si="1">SUM(N11:Q11)</f>
        <v>1063.3678199999999</v>
      </c>
      <c r="S11" s="4" t="s">
        <v>278</v>
      </c>
      <c r="T11" s="41"/>
      <c r="U11" s="41"/>
      <c r="V11" s="41"/>
      <c r="W11" s="41"/>
      <c r="X11" s="41"/>
    </row>
    <row r="12" spans="1:26" s="22" customFormat="1" ht="30.75" hidden="1" customHeight="1" x14ac:dyDescent="0.25">
      <c r="A12" s="512"/>
      <c r="B12" s="5"/>
      <c r="C12" s="8"/>
      <c r="D12" s="5"/>
      <c r="E12" s="20"/>
      <c r="F12" s="20"/>
      <c r="G12" s="20"/>
      <c r="H12" s="26"/>
      <c r="I12" s="26"/>
      <c r="J12" s="26"/>
      <c r="K12" s="26"/>
      <c r="L12" s="515" t="s">
        <v>281</v>
      </c>
      <c r="M12" s="516"/>
      <c r="N12" s="39"/>
      <c r="O12" s="39"/>
      <c r="P12" s="39">
        <f>58.75</f>
        <v>58.75</v>
      </c>
      <c r="Q12" s="39"/>
      <c r="R12" s="39">
        <f t="shared" si="1"/>
        <v>58.75</v>
      </c>
      <c r="S12" s="4"/>
      <c r="T12" s="39"/>
      <c r="U12" s="39"/>
      <c r="V12" s="39">
        <f>P12*20%</f>
        <v>11.75</v>
      </c>
      <c r="W12" s="39"/>
      <c r="X12" s="39">
        <f>SUM(T12:W12)</f>
        <v>11.75</v>
      </c>
    </row>
    <row r="13" spans="1:26" s="22" customFormat="1" ht="63.75" hidden="1" customHeight="1" x14ac:dyDescent="0.25">
      <c r="A13" s="512"/>
      <c r="B13" s="5"/>
      <c r="C13" s="8"/>
      <c r="D13" s="5"/>
      <c r="E13" s="20"/>
      <c r="F13" s="20"/>
      <c r="G13" s="20"/>
      <c r="H13" s="26"/>
      <c r="I13" s="26"/>
      <c r="J13" s="26"/>
      <c r="K13" s="26"/>
      <c r="L13" s="515" t="s">
        <v>282</v>
      </c>
      <c r="M13" s="516"/>
      <c r="N13" s="39">
        <v>1.42</v>
      </c>
      <c r="O13" s="39">
        <f>2.125+4.95833*2+7.79167*40+26.04333+70.435+2.90417+6.94167+30.62833+3.68333</f>
        <v>464.34429</v>
      </c>
      <c r="P13" s="35">
        <f>2.125*3+4.95833+7.79167*60+26.04333+2.90417+3.47083+1.84167+0.76</f>
        <v>513.85352999999998</v>
      </c>
      <c r="R13" s="35">
        <f t="shared" si="1"/>
        <v>979.61781999999994</v>
      </c>
      <c r="T13" s="22">
        <f>N13*20%</f>
        <v>0.28399999999999997</v>
      </c>
      <c r="U13" s="35">
        <f>O13*20%</f>
        <v>92.868858000000003</v>
      </c>
      <c r="V13" s="35">
        <f>P13*20%</f>
        <v>102.770706</v>
      </c>
      <c r="X13" s="35">
        <f>SUM(T13:W13)</f>
        <v>195.923564</v>
      </c>
    </row>
    <row r="14" spans="1:26" s="22" customFormat="1" ht="18.75" hidden="1" customHeight="1" x14ac:dyDescent="0.25">
      <c r="A14" s="512"/>
      <c r="B14" s="5"/>
      <c r="C14" s="8"/>
      <c r="D14" s="5"/>
      <c r="E14" s="20"/>
      <c r="F14" s="20"/>
      <c r="G14" s="20"/>
      <c r="H14" s="26"/>
      <c r="I14" s="26"/>
      <c r="J14" s="26"/>
      <c r="K14" s="26"/>
      <c r="L14" s="515" t="s">
        <v>283</v>
      </c>
      <c r="M14" s="516"/>
      <c r="N14" s="39">
        <v>5.7</v>
      </c>
      <c r="O14" s="39">
        <v>4</v>
      </c>
      <c r="P14" s="39">
        <v>11.21</v>
      </c>
      <c r="Q14" s="39">
        <v>4.09</v>
      </c>
      <c r="R14" s="39">
        <f t="shared" si="1"/>
        <v>25</v>
      </c>
      <c r="S14" s="4"/>
      <c r="T14" s="39"/>
      <c r="U14" s="39"/>
      <c r="V14" s="39"/>
      <c r="W14" s="39"/>
      <c r="X14" s="39"/>
    </row>
    <row r="15" spans="1:26" ht="19.5" customHeight="1" x14ac:dyDescent="0.25">
      <c r="A15" s="512"/>
      <c r="B15" s="5" t="s">
        <v>102</v>
      </c>
      <c r="C15" s="8" t="s">
        <v>117</v>
      </c>
      <c r="D15" s="5" t="s">
        <v>243</v>
      </c>
      <c r="E15" s="26">
        <v>0</v>
      </c>
      <c r="F15" s="26">
        <v>0</v>
      </c>
      <c r="G15" s="26">
        <f>P15</f>
        <v>543.43531199999995</v>
      </c>
      <c r="H15" s="26">
        <v>0</v>
      </c>
      <c r="I15" s="26">
        <f>E15+F15+G15+H15</f>
        <v>543.43531199999995</v>
      </c>
      <c r="J15" s="26">
        <f>I15*1.041</f>
        <v>565.71615979199987</v>
      </c>
      <c r="K15" s="26">
        <f>J15*1.041</f>
        <v>588.91052234347183</v>
      </c>
      <c r="L15" s="42" t="s">
        <v>102</v>
      </c>
      <c r="M15" s="43" t="s">
        <v>284</v>
      </c>
      <c r="N15" s="44"/>
      <c r="O15" s="44"/>
      <c r="P15" s="44">
        <f>1600*326.27*1.041/1000</f>
        <v>543.43531199999995</v>
      </c>
      <c r="Q15" s="44"/>
      <c r="R15" s="44">
        <f t="shared" si="1"/>
        <v>543.43531199999995</v>
      </c>
      <c r="S15" s="45" t="s">
        <v>285</v>
      </c>
      <c r="T15" s="44"/>
      <c r="U15" s="44"/>
      <c r="V15" s="44">
        <f>P15*20%</f>
        <v>108.6870624</v>
      </c>
      <c r="W15" s="44"/>
      <c r="X15" s="44">
        <f>SUM(T15:W15)</f>
        <v>108.6870624</v>
      </c>
    </row>
    <row r="16" spans="1:26" ht="18.75" customHeight="1" x14ac:dyDescent="0.25">
      <c r="A16" s="512"/>
      <c r="B16" s="5" t="s">
        <v>103</v>
      </c>
      <c r="C16" s="8" t="s">
        <v>286</v>
      </c>
      <c r="D16" s="5" t="s">
        <v>243</v>
      </c>
      <c r="E16" s="26">
        <f>N16</f>
        <v>21.8</v>
      </c>
      <c r="F16" s="26">
        <f>O16</f>
        <v>262.47521</v>
      </c>
      <c r="G16" s="26">
        <f>P16</f>
        <v>1970.3915999999999</v>
      </c>
      <c r="H16" s="26">
        <f>Q16</f>
        <v>21.8</v>
      </c>
      <c r="I16" s="26">
        <f>SUM(E16:H16)</f>
        <v>2276.4668099999999</v>
      </c>
      <c r="J16" s="26">
        <f>I16*1.041</f>
        <v>2369.8019492099997</v>
      </c>
      <c r="K16" s="26">
        <f>J16*1.041</f>
        <v>2466.9638291276096</v>
      </c>
      <c r="L16" s="5" t="s">
        <v>103</v>
      </c>
      <c r="M16" s="8" t="s">
        <v>286</v>
      </c>
      <c r="N16" s="39">
        <f>SUM(N17:N19)</f>
        <v>21.8</v>
      </c>
      <c r="O16" s="39">
        <f>SUM(O17:O19)</f>
        <v>262.47521</v>
      </c>
      <c r="P16" s="39">
        <f>SUM(P17:P19)</f>
        <v>1970.3915999999999</v>
      </c>
      <c r="Q16" s="39">
        <f>SUM(Q17:Q19)</f>
        <v>21.8</v>
      </c>
      <c r="R16" s="39">
        <f t="shared" si="1"/>
        <v>2276.4668099999999</v>
      </c>
      <c r="S16" s="45" t="s">
        <v>285</v>
      </c>
      <c r="T16" s="39"/>
      <c r="U16" s="39"/>
      <c r="V16" s="39"/>
      <c r="W16" s="39"/>
      <c r="X16" s="39"/>
    </row>
    <row r="17" spans="1:24" ht="32.25" hidden="1" customHeight="1" x14ac:dyDescent="0.25">
      <c r="A17" s="512"/>
      <c r="B17" s="5"/>
      <c r="C17" s="8"/>
      <c r="D17" s="5"/>
      <c r="E17" s="26"/>
      <c r="F17" s="26"/>
      <c r="G17" s="26"/>
      <c r="H17" s="26"/>
      <c r="I17" s="26"/>
      <c r="J17" s="26"/>
      <c r="K17" s="26"/>
      <c r="L17" s="524" t="s">
        <v>287</v>
      </c>
      <c r="M17" s="525"/>
      <c r="N17" s="39"/>
      <c r="O17" s="39"/>
      <c r="P17" s="39">
        <v>930.76</v>
      </c>
      <c r="Q17" s="39"/>
      <c r="R17" s="39">
        <f t="shared" si="1"/>
        <v>930.76</v>
      </c>
      <c r="S17" s="4"/>
      <c r="T17" s="39"/>
      <c r="U17" s="39"/>
      <c r="V17" s="39">
        <f>P17*20%</f>
        <v>186.15200000000002</v>
      </c>
      <c r="W17" s="39"/>
      <c r="X17" s="39">
        <f>SUM(T17:W17)</f>
        <v>186.15200000000002</v>
      </c>
    </row>
    <row r="18" spans="1:24" ht="63" hidden="1" customHeight="1" x14ac:dyDescent="0.25">
      <c r="A18" s="512"/>
      <c r="B18" s="5"/>
      <c r="C18" s="8"/>
      <c r="D18" s="5"/>
      <c r="E18" s="26"/>
      <c r="F18" s="26"/>
      <c r="G18" s="26"/>
      <c r="H18" s="26"/>
      <c r="I18" s="26"/>
      <c r="J18" s="26"/>
      <c r="K18" s="26"/>
      <c r="L18" s="515" t="s">
        <v>288</v>
      </c>
      <c r="M18" s="516"/>
      <c r="N18" s="39"/>
      <c r="O18" s="39">
        <v>241.07521</v>
      </c>
      <c r="P18" s="39">
        <f>723.22562+295.30598</f>
        <v>1018.5316</v>
      </c>
      <c r="Q18" s="39"/>
      <c r="R18" s="39">
        <f t="shared" si="1"/>
        <v>1259.60681</v>
      </c>
      <c r="S18" s="4"/>
      <c r="T18" s="39"/>
      <c r="U18" s="39">
        <f>O18*20%</f>
        <v>48.215042000000004</v>
      </c>
      <c r="V18" s="39">
        <f>723.22562*20%</f>
        <v>144.64512400000001</v>
      </c>
      <c r="W18" s="39"/>
      <c r="X18" s="39">
        <f>SUM(T18:W18)</f>
        <v>192.86016600000002</v>
      </c>
    </row>
    <row r="19" spans="1:24" ht="24" hidden="1" customHeight="1" x14ac:dyDescent="0.25">
      <c r="A19" s="512"/>
      <c r="B19" s="5"/>
      <c r="C19" s="8"/>
      <c r="D19" s="5"/>
      <c r="E19" s="26"/>
      <c r="F19" s="26"/>
      <c r="G19" s="26"/>
      <c r="H19" s="26"/>
      <c r="I19" s="26"/>
      <c r="J19" s="26"/>
      <c r="K19" s="26"/>
      <c r="L19" s="515" t="s">
        <v>59</v>
      </c>
      <c r="M19" s="516"/>
      <c r="N19" s="39">
        <f>SUM(N20:N21)</f>
        <v>21.8</v>
      </c>
      <c r="O19" s="39">
        <f>SUM(O20:O21)</f>
        <v>21.400000000000002</v>
      </c>
      <c r="P19" s="39">
        <f>SUM(P20:P21)</f>
        <v>21.1</v>
      </c>
      <c r="Q19" s="39">
        <f>SUM(Q20:Q21)</f>
        <v>21.8</v>
      </c>
      <c r="R19" s="39">
        <f t="shared" si="1"/>
        <v>86.100000000000009</v>
      </c>
      <c r="S19" s="4"/>
      <c r="T19" s="39"/>
      <c r="U19" s="39"/>
      <c r="V19" s="39"/>
      <c r="W19" s="39"/>
      <c r="X19" s="39"/>
    </row>
    <row r="20" spans="1:24" ht="24" hidden="1" customHeight="1" x14ac:dyDescent="0.25">
      <c r="A20" s="512"/>
      <c r="B20" s="5"/>
      <c r="C20" s="8"/>
      <c r="D20" s="5"/>
      <c r="E20" s="26"/>
      <c r="F20" s="26"/>
      <c r="G20" s="26"/>
      <c r="H20" s="26"/>
      <c r="I20" s="26"/>
      <c r="J20" s="26"/>
      <c r="K20" s="26"/>
      <c r="L20" s="32"/>
      <c r="M20" s="13" t="s">
        <v>289</v>
      </c>
      <c r="N20" s="39">
        <v>21.5</v>
      </c>
      <c r="O20" s="39">
        <v>21.1</v>
      </c>
      <c r="P20" s="39">
        <v>20.8</v>
      </c>
      <c r="Q20" s="39">
        <v>21.5</v>
      </c>
      <c r="R20" s="39">
        <f t="shared" si="1"/>
        <v>84.9</v>
      </c>
      <c r="S20" s="4"/>
      <c r="T20" s="39">
        <f t="shared" ref="T20:W21" si="2">N20*20%</f>
        <v>4.3</v>
      </c>
      <c r="U20" s="39">
        <f t="shared" si="2"/>
        <v>4.2200000000000006</v>
      </c>
      <c r="V20" s="39">
        <f t="shared" si="2"/>
        <v>4.16</v>
      </c>
      <c r="W20" s="39">
        <f t="shared" si="2"/>
        <v>4.3</v>
      </c>
      <c r="X20" s="39">
        <f>SUM(T20:W20)</f>
        <v>16.98</v>
      </c>
    </row>
    <row r="21" spans="1:24" ht="24" hidden="1" customHeight="1" x14ac:dyDescent="0.25">
      <c r="A21" s="512"/>
      <c r="B21" s="5"/>
      <c r="C21" s="8"/>
      <c r="D21" s="5"/>
      <c r="E21" s="26"/>
      <c r="F21" s="26"/>
      <c r="G21" s="26"/>
      <c r="H21" s="26"/>
      <c r="I21" s="26"/>
      <c r="J21" s="26"/>
      <c r="K21" s="26"/>
      <c r="L21" s="32"/>
      <c r="M21" s="13" t="s">
        <v>290</v>
      </c>
      <c r="N21" s="39">
        <v>0.3</v>
      </c>
      <c r="O21" s="39">
        <v>0.3</v>
      </c>
      <c r="P21" s="39">
        <v>0.3</v>
      </c>
      <c r="Q21" s="39">
        <v>0.3</v>
      </c>
      <c r="R21" s="39">
        <f t="shared" si="1"/>
        <v>1.2</v>
      </c>
      <c r="S21" s="4"/>
      <c r="T21" s="39">
        <f t="shared" si="2"/>
        <v>0.06</v>
      </c>
      <c r="U21" s="39">
        <f t="shared" si="2"/>
        <v>0.06</v>
      </c>
      <c r="V21" s="39">
        <f t="shared" si="2"/>
        <v>0.06</v>
      </c>
      <c r="W21" s="39">
        <f t="shared" si="2"/>
        <v>0.06</v>
      </c>
      <c r="X21" s="39">
        <f>SUM(T21:W21)</f>
        <v>0.24</v>
      </c>
    </row>
    <row r="22" spans="1:24" ht="18.75" customHeight="1" x14ac:dyDescent="0.25">
      <c r="A22" s="512"/>
      <c r="B22" s="5" t="s">
        <v>291</v>
      </c>
      <c r="C22" s="22" t="s">
        <v>292</v>
      </c>
      <c r="D22" s="5" t="s">
        <v>243</v>
      </c>
      <c r="E22" s="26">
        <f>N22</f>
        <v>0</v>
      </c>
      <c r="F22" s="26">
        <f>O22</f>
        <v>0</v>
      </c>
      <c r="G22" s="26">
        <f>P22</f>
        <v>102.73</v>
      </c>
      <c r="H22" s="26">
        <f>Q22</f>
        <v>0</v>
      </c>
      <c r="I22" s="26">
        <f>SUM(E22:H22)</f>
        <v>102.73</v>
      </c>
      <c r="J22" s="26">
        <f>I22*1.041</f>
        <v>106.94193</v>
      </c>
      <c r="K22" s="26">
        <f>J22*1.041</f>
        <v>111.32654912999999</v>
      </c>
      <c r="L22" s="5" t="s">
        <v>291</v>
      </c>
      <c r="M22" s="46" t="s">
        <v>292</v>
      </c>
      <c r="N22" s="39">
        <f>N23</f>
        <v>0</v>
      </c>
      <c r="O22" s="39">
        <f>O23</f>
        <v>0</v>
      </c>
      <c r="P22" s="39">
        <f>P23</f>
        <v>102.73</v>
      </c>
      <c r="Q22" s="39">
        <f>Q23</f>
        <v>0</v>
      </c>
      <c r="R22" s="39">
        <f t="shared" si="1"/>
        <v>102.73</v>
      </c>
      <c r="S22" s="45" t="s">
        <v>285</v>
      </c>
      <c r="T22" s="39"/>
      <c r="U22" s="39"/>
      <c r="V22" s="39"/>
      <c r="W22" s="39"/>
      <c r="X22" s="39"/>
    </row>
    <row r="23" spans="1:24" ht="18.75" hidden="1" customHeight="1" x14ac:dyDescent="0.25">
      <c r="A23" s="512"/>
      <c r="B23" s="5"/>
      <c r="C23" s="22"/>
      <c r="D23" s="5"/>
      <c r="E23" s="26"/>
      <c r="F23" s="26"/>
      <c r="G23" s="26"/>
      <c r="H23" s="26"/>
      <c r="I23" s="26"/>
      <c r="J23" s="26"/>
      <c r="K23" s="26"/>
      <c r="L23" s="524" t="s">
        <v>293</v>
      </c>
      <c r="M23" s="525"/>
      <c r="N23" s="8"/>
      <c r="P23" s="39">
        <v>102.73</v>
      </c>
      <c r="Q23" s="39"/>
      <c r="R23" s="39">
        <f t="shared" si="1"/>
        <v>102.73</v>
      </c>
      <c r="S23" s="4"/>
      <c r="T23" s="39"/>
      <c r="V23" s="44">
        <f>P23*20%</f>
        <v>20.546000000000003</v>
      </c>
      <c r="W23" s="39"/>
      <c r="X23" s="39">
        <f>SUM(T23:W23)</f>
        <v>20.546000000000003</v>
      </c>
    </row>
    <row r="24" spans="1:24" ht="18.75" hidden="1" customHeight="1" x14ac:dyDescent="0.25">
      <c r="A24" s="512"/>
      <c r="B24" s="5"/>
      <c r="C24" s="22"/>
      <c r="D24" s="5"/>
      <c r="E24" s="26"/>
      <c r="F24" s="26"/>
      <c r="G24" s="26"/>
      <c r="H24" s="26"/>
      <c r="I24" s="26"/>
      <c r="J24" s="26"/>
      <c r="K24" s="26"/>
      <c r="L24" s="26"/>
      <c r="M24" s="46"/>
      <c r="N24" s="39"/>
      <c r="O24" s="39"/>
      <c r="P24" s="39"/>
      <c r="Q24" s="39"/>
      <c r="R24" s="39"/>
      <c r="S24" s="4"/>
      <c r="T24" s="39"/>
      <c r="U24" s="39"/>
      <c r="V24" s="39"/>
      <c r="W24" s="39"/>
      <c r="X24" s="39"/>
    </row>
    <row r="25" spans="1:24" ht="18.75" hidden="1" customHeight="1" x14ac:dyDescent="0.25">
      <c r="A25" s="512"/>
      <c r="B25" s="5"/>
      <c r="C25" s="22"/>
      <c r="D25" s="5"/>
      <c r="E25" s="26"/>
      <c r="F25" s="26"/>
      <c r="G25" s="26"/>
      <c r="H25" s="26"/>
      <c r="I25" s="26"/>
      <c r="J25" s="26"/>
      <c r="K25" s="26"/>
      <c r="L25" s="26"/>
      <c r="M25" s="46"/>
      <c r="N25" s="39"/>
      <c r="O25" s="39"/>
      <c r="P25" s="39"/>
      <c r="Q25" s="39"/>
      <c r="R25" s="39"/>
      <c r="S25" s="4"/>
      <c r="T25" s="39"/>
      <c r="U25" s="39"/>
      <c r="V25" s="39"/>
      <c r="W25" s="39"/>
      <c r="X25" s="39"/>
    </row>
    <row r="26" spans="1:24" ht="18.75" customHeight="1" x14ac:dyDescent="0.25">
      <c r="A26" s="512"/>
      <c r="B26" s="5" t="s">
        <v>294</v>
      </c>
      <c r="C26" s="22" t="s">
        <v>295</v>
      </c>
      <c r="D26" s="5" t="s">
        <v>243</v>
      </c>
      <c r="E26" s="26">
        <f>N26</f>
        <v>33.18</v>
      </c>
      <c r="F26" s="26">
        <f>O26</f>
        <v>30.99</v>
      </c>
      <c r="G26" s="26">
        <f>P26</f>
        <v>29.93</v>
      </c>
      <c r="H26" s="26">
        <f>Q26</f>
        <v>31.46</v>
      </c>
      <c r="I26" s="26">
        <f>SUM(E26:H26)</f>
        <v>125.56</v>
      </c>
      <c r="J26" s="26">
        <f>I26*1.041</f>
        <v>130.70795999999999</v>
      </c>
      <c r="K26" s="26">
        <f>J26*1.041</f>
        <v>136.06698635999999</v>
      </c>
      <c r="L26" s="5" t="s">
        <v>294</v>
      </c>
      <c r="M26" s="22" t="s">
        <v>295</v>
      </c>
      <c r="N26" s="39">
        <f>N27+N30+N31</f>
        <v>33.18</v>
      </c>
      <c r="O26" s="39">
        <f>O27+O30+O31</f>
        <v>30.99</v>
      </c>
      <c r="P26" s="39">
        <f>P27+P30+P31</f>
        <v>29.93</v>
      </c>
      <c r="Q26" s="39">
        <f>Q27+Q30+Q31</f>
        <v>31.46</v>
      </c>
      <c r="R26" s="39">
        <f t="shared" ref="R26:R31" si="3">SUM(N26:Q26)</f>
        <v>125.56</v>
      </c>
      <c r="S26" s="4" t="s">
        <v>285</v>
      </c>
      <c r="T26" s="39"/>
      <c r="U26" s="39"/>
      <c r="V26" s="39"/>
      <c r="W26" s="39"/>
      <c r="X26" s="39"/>
    </row>
    <row r="27" spans="1:24" ht="18.75" hidden="1" customHeight="1" x14ac:dyDescent="0.25">
      <c r="A27" s="512"/>
      <c r="B27" s="5"/>
      <c r="C27" s="22"/>
      <c r="D27" s="5"/>
      <c r="E27" s="26"/>
      <c r="F27" s="26"/>
      <c r="G27" s="26"/>
      <c r="H27" s="26"/>
      <c r="I27" s="26"/>
      <c r="J27" s="26"/>
      <c r="K27" s="26"/>
      <c r="L27" s="515" t="s">
        <v>59</v>
      </c>
      <c r="M27" s="516"/>
      <c r="N27" s="39">
        <f>SUM(N28:N29)</f>
        <v>5.4</v>
      </c>
      <c r="O27" s="39">
        <f>SUM(O28:O29)</f>
        <v>5.3</v>
      </c>
      <c r="P27" s="39">
        <f>SUM(P28:P29)</f>
        <v>5.2</v>
      </c>
      <c r="Q27" s="39">
        <f>SUM(Q28:Q29)</f>
        <v>5.3</v>
      </c>
      <c r="R27" s="39">
        <f t="shared" si="3"/>
        <v>21.2</v>
      </c>
      <c r="S27" s="4"/>
      <c r="T27" s="39"/>
      <c r="U27" s="39"/>
      <c r="V27" s="39"/>
      <c r="W27" s="39"/>
      <c r="X27" s="39"/>
    </row>
    <row r="28" spans="1:24" ht="18.75" hidden="1" customHeight="1" x14ac:dyDescent="0.25">
      <c r="A28" s="512"/>
      <c r="B28" s="5"/>
      <c r="C28" s="22"/>
      <c r="D28" s="5"/>
      <c r="E28" s="26"/>
      <c r="F28" s="26"/>
      <c r="G28" s="26"/>
      <c r="H28" s="26"/>
      <c r="I28" s="26"/>
      <c r="J28" s="26"/>
      <c r="K28" s="26"/>
      <c r="L28" s="32"/>
      <c r="M28" s="13" t="s">
        <v>296</v>
      </c>
      <c r="N28" s="39">
        <v>5.4</v>
      </c>
      <c r="O28" s="39">
        <v>5.3</v>
      </c>
      <c r="P28" s="39">
        <v>5.2</v>
      </c>
      <c r="Q28" s="39">
        <v>5.3</v>
      </c>
      <c r="R28" s="39">
        <f t="shared" si="3"/>
        <v>21.2</v>
      </c>
      <c r="S28" s="4"/>
      <c r="T28" s="39">
        <f>N28*20%</f>
        <v>1.08</v>
      </c>
      <c r="U28" s="39">
        <f>O28*20%</f>
        <v>1.06</v>
      </c>
      <c r="V28" s="39">
        <f>P28*20%</f>
        <v>1.04</v>
      </c>
      <c r="W28" s="39">
        <f>Q28*20%</f>
        <v>1.06</v>
      </c>
      <c r="X28" s="39">
        <f>SUM(T28:W28)</f>
        <v>4.24</v>
      </c>
    </row>
    <row r="29" spans="1:24" ht="18.75" hidden="1" customHeight="1" x14ac:dyDescent="0.25">
      <c r="A29" s="512"/>
      <c r="B29" s="5"/>
      <c r="C29" s="22"/>
      <c r="D29" s="5"/>
      <c r="E29" s="26"/>
      <c r="F29" s="26"/>
      <c r="G29" s="26"/>
      <c r="H29" s="26"/>
      <c r="I29" s="26"/>
      <c r="J29" s="26"/>
      <c r="K29" s="26"/>
      <c r="L29" s="32"/>
      <c r="M29" s="13" t="s">
        <v>297</v>
      </c>
      <c r="N29" s="39"/>
      <c r="O29" s="39"/>
      <c r="P29" s="39"/>
      <c r="Q29" s="39"/>
      <c r="R29" s="39">
        <f t="shared" si="3"/>
        <v>0</v>
      </c>
      <c r="S29" s="4"/>
      <c r="T29" s="39"/>
      <c r="U29" s="39"/>
      <c r="V29" s="39"/>
      <c r="W29" s="39"/>
      <c r="X29" s="39"/>
    </row>
    <row r="30" spans="1:24" ht="18.75" hidden="1" customHeight="1" x14ac:dyDescent="0.25">
      <c r="A30" s="512"/>
      <c r="B30" s="5"/>
      <c r="C30" s="22"/>
      <c r="D30" s="5"/>
      <c r="E30" s="26"/>
      <c r="F30" s="26"/>
      <c r="G30" s="26"/>
      <c r="H30" s="26"/>
      <c r="I30" s="26"/>
      <c r="J30" s="26"/>
      <c r="K30" s="26"/>
      <c r="L30" s="515" t="s">
        <v>298</v>
      </c>
      <c r="M30" s="516"/>
      <c r="N30" s="39">
        <v>17.78</v>
      </c>
      <c r="O30" s="39">
        <v>15.69</v>
      </c>
      <c r="P30" s="39">
        <v>14.73</v>
      </c>
      <c r="Q30" s="39">
        <v>16.16</v>
      </c>
      <c r="R30" s="39">
        <f t="shared" si="3"/>
        <v>64.36</v>
      </c>
      <c r="S30" s="4"/>
      <c r="T30" s="39">
        <f>N30*20%</f>
        <v>3.5560000000000005</v>
      </c>
      <c r="U30" s="39">
        <f>O30*20%</f>
        <v>3.1379999999999999</v>
      </c>
      <c r="V30" s="39">
        <f>P30*20%</f>
        <v>2.9460000000000002</v>
      </c>
      <c r="W30" s="39">
        <f>Q30*20%</f>
        <v>3.2320000000000002</v>
      </c>
      <c r="X30" s="39">
        <f>SUM(T30:W30)</f>
        <v>12.872</v>
      </c>
    </row>
    <row r="31" spans="1:24" ht="18.75" hidden="1" customHeight="1" x14ac:dyDescent="0.25">
      <c r="A31" s="512"/>
      <c r="B31" s="5"/>
      <c r="C31" s="22"/>
      <c r="D31" s="5"/>
      <c r="E31" s="26"/>
      <c r="F31" s="26"/>
      <c r="G31" s="26"/>
      <c r="H31" s="26"/>
      <c r="I31" s="26"/>
      <c r="J31" s="26"/>
      <c r="K31" s="26"/>
      <c r="L31" s="522" t="s">
        <v>299</v>
      </c>
      <c r="M31" s="523"/>
      <c r="N31" s="39">
        <v>10</v>
      </c>
      <c r="O31" s="39">
        <v>10</v>
      </c>
      <c r="P31" s="39">
        <v>10</v>
      </c>
      <c r="Q31" s="39">
        <v>10</v>
      </c>
      <c r="R31" s="39">
        <f t="shared" si="3"/>
        <v>40</v>
      </c>
      <c r="S31" s="4"/>
      <c r="T31" s="39"/>
      <c r="U31" s="39"/>
      <c r="V31" s="39"/>
      <c r="W31" s="39"/>
      <c r="X31" s="39"/>
    </row>
    <row r="32" spans="1:24" ht="18.75" hidden="1" customHeight="1" x14ac:dyDescent="0.25">
      <c r="A32" s="512"/>
      <c r="B32" s="5"/>
      <c r="C32" s="22"/>
      <c r="D32" s="5"/>
      <c r="E32" s="26"/>
      <c r="F32" s="26"/>
      <c r="G32" s="26"/>
      <c r="H32" s="26"/>
      <c r="I32" s="26"/>
      <c r="J32" s="26"/>
      <c r="K32" s="26"/>
      <c r="L32" s="26"/>
      <c r="M32" s="46"/>
      <c r="N32" s="39"/>
      <c r="O32" s="39"/>
      <c r="P32" s="39"/>
      <c r="Q32" s="39"/>
      <c r="R32" s="39"/>
      <c r="S32" s="4"/>
      <c r="T32" s="39"/>
      <c r="U32" s="39"/>
      <c r="V32" s="39"/>
      <c r="W32" s="39"/>
      <c r="X32" s="39"/>
    </row>
    <row r="33" spans="1:24" ht="18.75" customHeight="1" x14ac:dyDescent="0.25">
      <c r="A33" s="512"/>
      <c r="B33" s="5" t="s">
        <v>300</v>
      </c>
      <c r="C33" s="22" t="s">
        <v>301</v>
      </c>
      <c r="D33" s="5" t="s">
        <v>243</v>
      </c>
      <c r="E33" s="26">
        <f>N33</f>
        <v>103.97000000000001</v>
      </c>
      <c r="F33" s="26">
        <f>O33</f>
        <v>105.92000000000002</v>
      </c>
      <c r="G33" s="26">
        <f>P33</f>
        <v>146.82</v>
      </c>
      <c r="H33" s="26">
        <f>Q33</f>
        <v>108.70999999999998</v>
      </c>
      <c r="I33" s="26">
        <f>SUM(E33:H33)</f>
        <v>465.42</v>
      </c>
      <c r="J33" s="26">
        <f>I33*1.041</f>
        <v>484.50221999999997</v>
      </c>
      <c r="K33" s="26">
        <f>J33*1.041</f>
        <v>504.36681101999994</v>
      </c>
      <c r="L33" s="5" t="s">
        <v>300</v>
      </c>
      <c r="M33" s="22" t="s">
        <v>301</v>
      </c>
      <c r="N33" s="39">
        <f>N34+N35+N38</f>
        <v>103.97000000000001</v>
      </c>
      <c r="O33" s="39">
        <f>O34+O35+O38</f>
        <v>105.92000000000002</v>
      </c>
      <c r="P33" s="39">
        <f>P34+P35+P38</f>
        <v>146.82</v>
      </c>
      <c r="Q33" s="39">
        <f>Q34+Q35+Q38</f>
        <v>108.70999999999998</v>
      </c>
      <c r="R33" s="39">
        <f t="shared" ref="R33:R38" si="4">SUM(N33:Q33)</f>
        <v>465.42</v>
      </c>
      <c r="S33" s="4" t="s">
        <v>285</v>
      </c>
      <c r="T33" s="39"/>
      <c r="U33" s="39"/>
      <c r="V33" s="39"/>
      <c r="W33" s="39"/>
      <c r="X33" s="39"/>
    </row>
    <row r="34" spans="1:24" ht="18.75" hidden="1" customHeight="1" x14ac:dyDescent="0.25">
      <c r="A34" s="512"/>
      <c r="B34" s="5"/>
      <c r="C34" s="22"/>
      <c r="D34" s="5"/>
      <c r="E34" s="26"/>
      <c r="F34" s="26"/>
      <c r="G34" s="26"/>
      <c r="H34" s="26"/>
      <c r="I34" s="26"/>
      <c r="J34" s="26"/>
      <c r="K34" s="26"/>
      <c r="L34" s="524" t="s">
        <v>302</v>
      </c>
      <c r="M34" s="525"/>
      <c r="N34" s="39"/>
      <c r="P34" s="39">
        <v>39.25</v>
      </c>
      <c r="Q34" s="39"/>
      <c r="R34" s="39">
        <f t="shared" si="4"/>
        <v>39.25</v>
      </c>
      <c r="S34" s="4"/>
      <c r="T34" s="39"/>
      <c r="U34" s="39"/>
      <c r="V34" s="39">
        <f>P34*20%</f>
        <v>7.8500000000000005</v>
      </c>
      <c r="W34" s="39"/>
      <c r="X34" s="39">
        <f>SUM(T34:W34)</f>
        <v>7.8500000000000005</v>
      </c>
    </row>
    <row r="35" spans="1:24" ht="18.75" hidden="1" customHeight="1" x14ac:dyDescent="0.25">
      <c r="A35" s="512"/>
      <c r="B35" s="5"/>
      <c r="C35" s="22"/>
      <c r="D35" s="5"/>
      <c r="E35" s="26"/>
      <c r="F35" s="26"/>
      <c r="G35" s="26"/>
      <c r="H35" s="26"/>
      <c r="I35" s="26"/>
      <c r="J35" s="26"/>
      <c r="K35" s="26"/>
      <c r="L35" s="515" t="s">
        <v>59</v>
      </c>
      <c r="M35" s="516"/>
      <c r="N35" s="39">
        <f>SUM(N36:N37)</f>
        <v>93.800000000000011</v>
      </c>
      <c r="O35" s="39">
        <f>SUM(O36:O37)</f>
        <v>96.600000000000009</v>
      </c>
      <c r="P35" s="39">
        <f>SUM(P36:P37)</f>
        <v>97.4</v>
      </c>
      <c r="Q35" s="39">
        <f>SUM(Q36:Q37)</f>
        <v>95.999999999999986</v>
      </c>
      <c r="R35" s="39">
        <f t="shared" si="4"/>
        <v>383.80000000000007</v>
      </c>
      <c r="S35" s="4"/>
      <c r="T35" s="39"/>
      <c r="U35" s="39"/>
      <c r="V35" s="39"/>
      <c r="W35" s="39"/>
      <c r="X35" s="39"/>
    </row>
    <row r="36" spans="1:24" ht="18.75" hidden="1" customHeight="1" x14ac:dyDescent="0.25">
      <c r="A36" s="512"/>
      <c r="B36" s="5"/>
      <c r="C36" s="22"/>
      <c r="D36" s="5"/>
      <c r="E36" s="26"/>
      <c r="F36" s="26"/>
      <c r="G36" s="26"/>
      <c r="H36" s="26"/>
      <c r="I36" s="26"/>
      <c r="J36" s="26"/>
      <c r="K36" s="26"/>
      <c r="L36" s="32"/>
      <c r="M36" s="13" t="s">
        <v>303</v>
      </c>
      <c r="N36" s="39">
        <f>29.5+2.7+31.2+1.2+10.5</f>
        <v>75.100000000000009</v>
      </c>
      <c r="O36" s="39">
        <f>32+2.8+31.2+1.4+10.5</f>
        <v>77.900000000000006</v>
      </c>
      <c r="P36" s="39">
        <f>32.2+3+31.2+1.9+10.5</f>
        <v>78.800000000000011</v>
      </c>
      <c r="Q36" s="39">
        <f>31.7+2.7+31.2+1.1+10.5</f>
        <v>77.199999999999989</v>
      </c>
      <c r="R36" s="39">
        <f t="shared" si="4"/>
        <v>309</v>
      </c>
      <c r="S36" s="4"/>
      <c r="T36" s="39">
        <f t="shared" ref="T36:W38" si="5">N36*20%</f>
        <v>15.020000000000003</v>
      </c>
      <c r="U36" s="39">
        <f t="shared" si="5"/>
        <v>15.580000000000002</v>
      </c>
      <c r="V36" s="39">
        <f t="shared" si="5"/>
        <v>15.760000000000003</v>
      </c>
      <c r="W36" s="39">
        <f t="shared" si="5"/>
        <v>15.439999999999998</v>
      </c>
      <c r="X36" s="39">
        <f>SUM(T36:W36)</f>
        <v>61.800000000000004</v>
      </c>
    </row>
    <row r="37" spans="1:24" ht="18.75" hidden="1" customHeight="1" x14ac:dyDescent="0.25">
      <c r="A37" s="512"/>
      <c r="B37" s="5"/>
      <c r="C37" s="22"/>
      <c r="D37" s="5"/>
      <c r="E37" s="26"/>
      <c r="F37" s="26"/>
      <c r="G37" s="26"/>
      <c r="H37" s="26"/>
      <c r="I37" s="26"/>
      <c r="J37" s="26"/>
      <c r="K37" s="26"/>
      <c r="L37" s="32"/>
      <c r="M37" s="13" t="s">
        <v>304</v>
      </c>
      <c r="N37" s="39">
        <f>8.9+8+0.9+0.2+0.2+0.2+0.3</f>
        <v>18.699999999999996</v>
      </c>
      <c r="O37" s="39">
        <f>9.1+8+0.9+0.2+0.2+0.2+0.1</f>
        <v>18.7</v>
      </c>
      <c r="P37" s="39">
        <f>8.9+8+0.9+0.2+0.2+0.2+0.2</f>
        <v>18.599999999999994</v>
      </c>
      <c r="Q37" s="39">
        <f>9.1+8+0.9+0.2+0.2+0.2+0.2</f>
        <v>18.799999999999997</v>
      </c>
      <c r="R37" s="39">
        <f t="shared" si="4"/>
        <v>74.799999999999983</v>
      </c>
      <c r="S37" s="4"/>
      <c r="T37" s="39">
        <f t="shared" si="5"/>
        <v>3.7399999999999993</v>
      </c>
      <c r="U37" s="39">
        <f t="shared" si="5"/>
        <v>3.74</v>
      </c>
      <c r="V37" s="39">
        <f t="shared" si="5"/>
        <v>3.7199999999999989</v>
      </c>
      <c r="W37" s="39">
        <f t="shared" si="5"/>
        <v>3.76</v>
      </c>
      <c r="X37" s="39">
        <f>SUM(T37:W37)</f>
        <v>14.959999999999999</v>
      </c>
    </row>
    <row r="38" spans="1:24" ht="18.75" hidden="1" customHeight="1" x14ac:dyDescent="0.25">
      <c r="A38" s="512"/>
      <c r="B38" s="5"/>
      <c r="C38" s="22"/>
      <c r="D38" s="5"/>
      <c r="E38" s="26"/>
      <c r="F38" s="26"/>
      <c r="G38" s="26"/>
      <c r="H38" s="26"/>
      <c r="I38" s="26"/>
      <c r="J38" s="26"/>
      <c r="K38" s="26"/>
      <c r="L38" s="515" t="s">
        <v>298</v>
      </c>
      <c r="M38" s="516"/>
      <c r="N38" s="39">
        <v>10.17</v>
      </c>
      <c r="O38" s="39">
        <v>9.32</v>
      </c>
      <c r="P38" s="39">
        <v>10.17</v>
      </c>
      <c r="Q38" s="39">
        <v>12.71</v>
      </c>
      <c r="R38" s="39">
        <f t="shared" si="4"/>
        <v>42.370000000000005</v>
      </c>
      <c r="S38" s="4"/>
      <c r="T38" s="39">
        <f t="shared" si="5"/>
        <v>2.0340000000000003</v>
      </c>
      <c r="U38" s="39">
        <f t="shared" si="5"/>
        <v>1.8640000000000001</v>
      </c>
      <c r="V38" s="39">
        <f t="shared" si="5"/>
        <v>2.0340000000000003</v>
      </c>
      <c r="W38" s="39">
        <f t="shared" si="5"/>
        <v>2.5420000000000003</v>
      </c>
      <c r="X38" s="39">
        <f>SUM(T38:W38)</f>
        <v>8.4740000000000002</v>
      </c>
    </row>
    <row r="39" spans="1:24" ht="18.75" customHeight="1" x14ac:dyDescent="0.25">
      <c r="A39" s="512"/>
      <c r="B39" s="5" t="s">
        <v>305</v>
      </c>
      <c r="C39" s="22" t="s">
        <v>306</v>
      </c>
      <c r="D39" s="5" t="s">
        <v>243</v>
      </c>
      <c r="E39" s="26">
        <f>N39</f>
        <v>0</v>
      </c>
      <c r="F39" s="26">
        <f>O39</f>
        <v>0</v>
      </c>
      <c r="G39" s="26">
        <f>P39</f>
        <v>41.25</v>
      </c>
      <c r="H39" s="26">
        <f>Q39</f>
        <v>0</v>
      </c>
      <c r="I39" s="26">
        <f>SUM(E39:H39)</f>
        <v>41.25</v>
      </c>
      <c r="J39" s="26">
        <f>I39*1.041</f>
        <v>42.941249999999997</v>
      </c>
      <c r="K39" s="26">
        <f>J39*1.041</f>
        <v>44.701841249999994</v>
      </c>
      <c r="L39" s="5" t="s">
        <v>305</v>
      </c>
      <c r="M39" s="46" t="s">
        <v>306</v>
      </c>
      <c r="N39" s="39">
        <f>N40</f>
        <v>0</v>
      </c>
      <c r="O39" s="39">
        <f>O40</f>
        <v>0</v>
      </c>
      <c r="P39" s="39">
        <f>P40</f>
        <v>41.25</v>
      </c>
      <c r="Q39" s="39">
        <f>Q40</f>
        <v>0</v>
      </c>
      <c r="R39" s="39">
        <f>R40</f>
        <v>41.25</v>
      </c>
      <c r="S39" s="4"/>
      <c r="T39" s="39"/>
      <c r="U39" s="39"/>
      <c r="V39" s="39"/>
      <c r="W39" s="39"/>
      <c r="X39" s="39"/>
    </row>
    <row r="40" spans="1:24" ht="27" hidden="1" customHeight="1" x14ac:dyDescent="0.25">
      <c r="A40" s="512"/>
      <c r="B40" s="5"/>
      <c r="C40" s="22"/>
      <c r="D40" s="5"/>
      <c r="E40" s="26"/>
      <c r="F40" s="26"/>
      <c r="G40" s="26"/>
      <c r="H40" s="26"/>
      <c r="I40" s="26"/>
      <c r="J40" s="26"/>
      <c r="K40" s="26"/>
      <c r="L40" s="524" t="s">
        <v>307</v>
      </c>
      <c r="M40" s="525"/>
      <c r="N40" s="13"/>
      <c r="P40" s="39">
        <v>41.25</v>
      </c>
      <c r="Q40" s="39"/>
      <c r="R40" s="47">
        <f>SUM(N40:Q40)</f>
        <v>41.25</v>
      </c>
      <c r="S40" s="39"/>
      <c r="T40" s="39"/>
      <c r="V40" s="39">
        <f>P40*20%</f>
        <v>8.25</v>
      </c>
      <c r="W40" s="39"/>
      <c r="X40" s="39">
        <f>SUM(S40:W40)</f>
        <v>8.25</v>
      </c>
    </row>
    <row r="41" spans="1:24" ht="18.75" hidden="1" customHeight="1" x14ac:dyDescent="0.25">
      <c r="A41" s="512"/>
      <c r="B41" s="5"/>
      <c r="C41" s="22"/>
      <c r="D41" s="5"/>
      <c r="E41" s="26"/>
      <c r="F41" s="26"/>
      <c r="G41" s="26"/>
      <c r="H41" s="26"/>
      <c r="I41" s="26"/>
      <c r="J41" s="26"/>
      <c r="K41" s="26"/>
      <c r="L41" s="26"/>
      <c r="M41" s="46"/>
      <c r="N41" s="39"/>
      <c r="O41" s="39"/>
      <c r="P41" s="22"/>
      <c r="Q41" s="22"/>
      <c r="R41" s="22"/>
      <c r="S41" s="22"/>
      <c r="T41" s="22"/>
      <c r="U41" s="22"/>
      <c r="V41" s="22"/>
      <c r="W41" s="22"/>
      <c r="X41" s="22"/>
    </row>
    <row r="42" spans="1:24" ht="18.75" hidden="1" customHeight="1" x14ac:dyDescent="0.25">
      <c r="A42" s="512"/>
      <c r="B42" s="5"/>
      <c r="C42" s="22"/>
      <c r="D42" s="5"/>
      <c r="E42" s="26"/>
      <c r="F42" s="26"/>
      <c r="G42" s="26"/>
      <c r="H42" s="26"/>
      <c r="I42" s="26"/>
      <c r="J42" s="26"/>
      <c r="K42" s="26"/>
      <c r="L42" s="26"/>
      <c r="M42" s="46"/>
      <c r="N42" s="39"/>
      <c r="O42" s="39"/>
      <c r="P42" s="39"/>
      <c r="Q42" s="39"/>
      <c r="R42" s="39"/>
      <c r="S42" s="4"/>
      <c r="T42" s="39"/>
      <c r="U42" s="39"/>
      <c r="V42" s="39"/>
      <c r="W42" s="39"/>
      <c r="X42" s="39"/>
    </row>
    <row r="43" spans="1:24" ht="18.75" hidden="1" customHeight="1" x14ac:dyDescent="0.25">
      <c r="A43" s="512"/>
      <c r="B43" s="5"/>
      <c r="C43" s="22"/>
      <c r="D43" s="5"/>
      <c r="E43" s="26"/>
      <c r="F43" s="26"/>
      <c r="G43" s="26"/>
      <c r="H43" s="26"/>
      <c r="I43" s="26"/>
      <c r="J43" s="26"/>
      <c r="K43" s="26"/>
      <c r="L43" s="26"/>
      <c r="M43" s="46"/>
      <c r="N43" s="39"/>
      <c r="O43" s="39"/>
      <c r="P43" s="39"/>
      <c r="Q43" s="39"/>
      <c r="R43" s="39"/>
      <c r="S43" s="4"/>
      <c r="T43" s="39"/>
      <c r="U43" s="39"/>
      <c r="V43" s="39"/>
      <c r="W43" s="39"/>
      <c r="X43" s="39"/>
    </row>
    <row r="44" spans="1:24" ht="20.25" customHeight="1" x14ac:dyDescent="0.25">
      <c r="A44" s="512"/>
      <c r="B44" s="5" t="s">
        <v>308</v>
      </c>
      <c r="C44" s="22" t="s">
        <v>309</v>
      </c>
      <c r="D44" s="5" t="s">
        <v>243</v>
      </c>
      <c r="E44" s="26">
        <f>N44</f>
        <v>21.224279999999997</v>
      </c>
      <c r="F44" s="26">
        <f>O44</f>
        <v>66.671999999999997</v>
      </c>
      <c r="G44" s="26">
        <f>P44</f>
        <v>132.34654</v>
      </c>
      <c r="H44" s="26">
        <f>Q44</f>
        <v>20.925239999999995</v>
      </c>
      <c r="I44" s="26">
        <f>SUM(E44:H44)</f>
        <v>241.16806</v>
      </c>
      <c r="J44" s="26">
        <f>139579.29*0.2%</f>
        <v>279.15858000000003</v>
      </c>
      <c r="K44" s="26">
        <f>141743.43*0.2%</f>
        <v>283.48685999999998</v>
      </c>
      <c r="L44" s="5" t="s">
        <v>308</v>
      </c>
      <c r="M44" s="48" t="s">
        <v>310</v>
      </c>
      <c r="N44" s="39">
        <f>19497.14*0.2%-17.77</f>
        <v>21.224279999999997</v>
      </c>
      <c r="O44" s="39">
        <f>33336*0.2%</f>
        <v>66.671999999999997</v>
      </c>
      <c r="P44" s="39">
        <f>73563.27*0.2%-14.78</f>
        <v>132.34654</v>
      </c>
      <c r="Q44" s="39">
        <f>17742.62*0.2%-14.56</f>
        <v>20.925239999999995</v>
      </c>
      <c r="R44" s="39">
        <f>SUM(N44:Q44)</f>
        <v>241.16806</v>
      </c>
      <c r="S44" s="4"/>
      <c r="T44" s="39"/>
      <c r="U44" s="39"/>
      <c r="V44" s="39"/>
      <c r="W44" s="39"/>
      <c r="X44" s="39"/>
    </row>
    <row r="45" spans="1:24" ht="19.5" hidden="1" customHeight="1" x14ac:dyDescent="0.25">
      <c r="A45" s="512"/>
      <c r="B45" s="5"/>
      <c r="C45" s="22"/>
      <c r="D45" s="5"/>
      <c r="E45" s="26"/>
      <c r="F45" s="26"/>
      <c r="G45" s="26"/>
      <c r="H45" s="26"/>
      <c r="I45" s="26"/>
      <c r="J45" s="26"/>
      <c r="K45" s="26"/>
      <c r="L45" s="524" t="s">
        <v>13</v>
      </c>
      <c r="M45" s="525"/>
      <c r="N45" s="8"/>
      <c r="O45" s="39"/>
      <c r="P45" s="39"/>
      <c r="Q45" s="39"/>
      <c r="R45" s="39"/>
      <c r="S45" s="4"/>
      <c r="T45" s="39"/>
      <c r="U45" s="39"/>
      <c r="V45" s="39"/>
      <c r="W45" s="39"/>
      <c r="X45" s="39"/>
    </row>
    <row r="46" spans="1:24" ht="19.5" hidden="1" customHeight="1" x14ac:dyDescent="0.25">
      <c r="A46" s="512"/>
      <c r="B46" s="5"/>
      <c r="C46" s="22"/>
      <c r="D46" s="5"/>
      <c r="E46" s="26"/>
      <c r="F46" s="26"/>
      <c r="G46" s="26"/>
      <c r="H46" s="26"/>
      <c r="I46" s="26"/>
      <c r="J46" s="26"/>
      <c r="K46" s="26"/>
      <c r="L46" s="26"/>
      <c r="M46" s="49" t="s">
        <v>311</v>
      </c>
      <c r="N46" s="39"/>
      <c r="O46" s="39"/>
      <c r="P46" s="39">
        <v>156.66999999999999</v>
      </c>
      <c r="Q46" s="39"/>
      <c r="R46" s="39">
        <f>SUM(N46:Q46)</f>
        <v>156.66999999999999</v>
      </c>
      <c r="S46" s="4"/>
      <c r="T46" s="39"/>
      <c r="U46" s="39"/>
      <c r="V46" s="39">
        <f>P46*20%</f>
        <v>31.334</v>
      </c>
      <c r="W46" s="39"/>
      <c r="X46" s="39">
        <f>SUM(T46:W46)</f>
        <v>31.334</v>
      </c>
    </row>
    <row r="47" spans="1:24" ht="19.5" hidden="1" customHeight="1" x14ac:dyDescent="0.25">
      <c r="A47" s="512"/>
      <c r="B47" s="5"/>
      <c r="C47" s="22"/>
      <c r="D47" s="5"/>
      <c r="E47" s="26"/>
      <c r="F47" s="26"/>
      <c r="G47" s="26"/>
      <c r="H47" s="26"/>
      <c r="I47" s="26"/>
      <c r="J47" s="26"/>
      <c r="K47" s="26"/>
      <c r="L47" s="26"/>
      <c r="M47" s="8"/>
      <c r="N47" s="39"/>
      <c r="O47" s="39"/>
      <c r="P47" s="39"/>
      <c r="Q47" s="39"/>
      <c r="R47" s="39"/>
      <c r="S47" s="4"/>
      <c r="T47" s="39"/>
      <c r="U47" s="39"/>
      <c r="V47" s="39"/>
      <c r="W47" s="39"/>
      <c r="X47" s="39"/>
    </row>
    <row r="48" spans="1:24" ht="18.75" customHeight="1" x14ac:dyDescent="0.25">
      <c r="A48" s="512"/>
      <c r="B48" s="5" t="s">
        <v>312</v>
      </c>
      <c r="C48" s="22" t="s">
        <v>313</v>
      </c>
      <c r="D48" s="5" t="s">
        <v>243</v>
      </c>
      <c r="E48" s="26">
        <f>N48</f>
        <v>150</v>
      </c>
      <c r="F48" s="26">
        <f>O48</f>
        <v>120.14667</v>
      </c>
      <c r="G48" s="26">
        <f>P48</f>
        <v>634.33000000000004</v>
      </c>
      <c r="H48" s="26">
        <f>Q48</f>
        <v>0</v>
      </c>
      <c r="I48" s="26">
        <f>SUM(E48:H48)</f>
        <v>904.47667000000001</v>
      </c>
      <c r="J48" s="26">
        <f>I48*1.041</f>
        <v>941.56021346999989</v>
      </c>
      <c r="K48" s="26">
        <f>J48*1.041</f>
        <v>980.1641822222698</v>
      </c>
      <c r="L48" s="5" t="s">
        <v>312</v>
      </c>
      <c r="M48" s="22" t="s">
        <v>313</v>
      </c>
      <c r="N48" s="39">
        <f>N49+N50+N51</f>
        <v>150</v>
      </c>
      <c r="O48" s="39">
        <f>O49+O50+O51</f>
        <v>120.14667</v>
      </c>
      <c r="P48" s="39">
        <f>P49+P50+P51</f>
        <v>634.33000000000004</v>
      </c>
      <c r="Q48" s="39">
        <f>Q49+Q50+Q51</f>
        <v>0</v>
      </c>
      <c r="R48" s="39">
        <f>SUM(N48:Q48)</f>
        <v>904.47667000000001</v>
      </c>
      <c r="S48" s="4"/>
      <c r="T48" s="39"/>
      <c r="U48" s="39"/>
      <c r="V48" s="39"/>
      <c r="W48" s="39"/>
      <c r="X48" s="39"/>
    </row>
    <row r="49" spans="1:24" ht="24.75" hidden="1" customHeight="1" x14ac:dyDescent="0.25">
      <c r="A49" s="512"/>
      <c r="B49" s="5"/>
      <c r="C49" s="22"/>
      <c r="D49" s="5"/>
      <c r="E49" s="26"/>
      <c r="F49" s="26"/>
      <c r="G49" s="26"/>
      <c r="H49" s="26"/>
      <c r="I49" s="26"/>
      <c r="J49" s="26"/>
      <c r="K49" s="26"/>
      <c r="L49" s="524" t="s">
        <v>314</v>
      </c>
      <c r="M49" s="525"/>
      <c r="N49" s="39"/>
      <c r="O49" s="39"/>
      <c r="P49" s="39">
        <v>634.33000000000004</v>
      </c>
      <c r="Q49" s="39"/>
      <c r="R49" s="39">
        <f>SUM(N49:Q49)</f>
        <v>634.33000000000004</v>
      </c>
      <c r="S49" s="4"/>
      <c r="T49" s="39"/>
      <c r="U49" s="39"/>
      <c r="V49" s="39">
        <f>P49*20%</f>
        <v>126.86600000000001</v>
      </c>
      <c r="W49" s="39"/>
      <c r="X49" s="39">
        <f>SUM(T49:W49)</f>
        <v>126.86600000000001</v>
      </c>
    </row>
    <row r="50" spans="1:24" ht="69.75" hidden="1" customHeight="1" x14ac:dyDescent="0.25">
      <c r="A50" s="512"/>
      <c r="B50" s="5"/>
      <c r="C50" s="22"/>
      <c r="D50" s="5"/>
      <c r="E50" s="26"/>
      <c r="F50" s="26"/>
      <c r="G50" s="26"/>
      <c r="H50" s="26"/>
      <c r="I50" s="26"/>
      <c r="J50" s="26"/>
      <c r="K50" s="26"/>
      <c r="L50" s="515" t="s">
        <v>315</v>
      </c>
      <c r="M50" s="516"/>
      <c r="N50" s="39"/>
      <c r="O50" s="39">
        <v>120.14667</v>
      </c>
      <c r="P50" s="39"/>
      <c r="Q50" s="39"/>
      <c r="R50" s="39">
        <f>SUM(N50:Q50)</f>
        <v>120.14667</v>
      </c>
      <c r="S50" s="4"/>
      <c r="T50" s="39"/>
      <c r="U50" s="39">
        <f>O50*20%</f>
        <v>24.029334000000002</v>
      </c>
      <c r="V50" s="39"/>
      <c r="W50" s="39"/>
      <c r="X50" s="39">
        <f>SUM(T50:W50)</f>
        <v>24.029334000000002</v>
      </c>
    </row>
    <row r="51" spans="1:24" ht="25.5" hidden="1" customHeight="1" x14ac:dyDescent="0.25">
      <c r="A51" s="512"/>
      <c r="B51" s="5"/>
      <c r="C51" s="22"/>
      <c r="D51" s="5"/>
      <c r="E51" s="26"/>
      <c r="F51" s="26"/>
      <c r="G51" s="26"/>
      <c r="H51" s="26"/>
      <c r="I51" s="26"/>
      <c r="J51" s="26"/>
      <c r="K51" s="26"/>
      <c r="L51" s="522" t="s">
        <v>316</v>
      </c>
      <c r="M51" s="523"/>
      <c r="N51" s="39">
        <f>10*15</f>
        <v>150</v>
      </c>
      <c r="O51" s="39"/>
      <c r="P51" s="39"/>
      <c r="Q51" s="39"/>
      <c r="R51" s="39">
        <f>SUM(N51:Q51)</f>
        <v>150</v>
      </c>
      <c r="S51" s="4"/>
      <c r="T51" s="39">
        <f>N51*20%</f>
        <v>30</v>
      </c>
      <c r="U51" s="39"/>
      <c r="V51" s="39"/>
      <c r="W51" s="39"/>
      <c r="X51" s="39">
        <f>SUM(T51:W51)</f>
        <v>30</v>
      </c>
    </row>
    <row r="52" spans="1:24" ht="18.75" hidden="1" customHeight="1" x14ac:dyDescent="0.25">
      <c r="A52" s="512"/>
      <c r="B52" s="5"/>
      <c r="C52" s="22"/>
      <c r="D52" s="5"/>
      <c r="E52" s="26"/>
      <c r="F52" s="26"/>
      <c r="G52" s="26"/>
      <c r="H52" s="26"/>
      <c r="I52" s="26"/>
      <c r="J52" s="26"/>
      <c r="K52" s="26"/>
      <c r="L52" s="26"/>
      <c r="M52" s="22"/>
      <c r="N52" s="39"/>
      <c r="O52" s="39"/>
      <c r="P52" s="39"/>
      <c r="Q52" s="39"/>
      <c r="R52" s="39"/>
      <c r="S52" s="4"/>
      <c r="T52" s="39"/>
      <c r="U52" s="39"/>
      <c r="V52" s="39"/>
      <c r="W52" s="39"/>
      <c r="X52" s="39"/>
    </row>
    <row r="53" spans="1:24" ht="18.75" hidden="1" customHeight="1" x14ac:dyDescent="0.25">
      <c r="A53" s="512"/>
      <c r="B53" s="5"/>
      <c r="C53" s="22"/>
      <c r="D53" s="5"/>
      <c r="E53" s="26"/>
      <c r="F53" s="26"/>
      <c r="G53" s="26"/>
      <c r="H53" s="26"/>
      <c r="I53" s="26"/>
      <c r="J53" s="26"/>
      <c r="K53" s="26"/>
      <c r="L53" s="26"/>
      <c r="M53" s="22"/>
      <c r="N53" s="39"/>
      <c r="O53" s="39"/>
      <c r="P53" s="39"/>
      <c r="Q53" s="39"/>
      <c r="R53" s="39"/>
      <c r="S53" s="4"/>
      <c r="T53" s="39"/>
      <c r="U53" s="39"/>
      <c r="V53" s="39"/>
      <c r="W53" s="39"/>
      <c r="X53" s="39"/>
    </row>
    <row r="54" spans="1:24" ht="16.5" customHeight="1" x14ac:dyDescent="0.25">
      <c r="A54" s="512"/>
      <c r="B54" s="5" t="s">
        <v>317</v>
      </c>
      <c r="C54" s="22" t="s">
        <v>119</v>
      </c>
      <c r="D54" s="5" t="s">
        <v>243</v>
      </c>
      <c r="E54" s="26">
        <v>0</v>
      </c>
      <c r="F54" s="26">
        <v>0</v>
      </c>
      <c r="G54" s="26">
        <f>P54</f>
        <v>173.04</v>
      </c>
      <c r="H54" s="26">
        <v>0</v>
      </c>
      <c r="I54" s="26">
        <f>E54+F54+G54+H54</f>
        <v>173.04</v>
      </c>
      <c r="J54" s="26">
        <f>I54*1.03</f>
        <v>178.2312</v>
      </c>
      <c r="K54" s="26">
        <f>J54*1.03</f>
        <v>183.578136</v>
      </c>
      <c r="L54" s="5" t="s">
        <v>317</v>
      </c>
      <c r="M54" s="13" t="s">
        <v>318</v>
      </c>
      <c r="N54" s="39"/>
      <c r="O54" s="39"/>
      <c r="P54" s="39">
        <f>питание!W12</f>
        <v>173.04</v>
      </c>
      <c r="Q54" s="39"/>
      <c r="R54" s="39">
        <f>SUM(N54:Q54)</f>
        <v>173.04</v>
      </c>
      <c r="S54" s="4" t="s">
        <v>319</v>
      </c>
      <c r="T54" s="39"/>
      <c r="U54" s="39"/>
      <c r="V54" s="39">
        <f>P54*20%</f>
        <v>34.607999999999997</v>
      </c>
      <c r="W54" s="39"/>
      <c r="X54" s="39">
        <f>SUM(T54:W54)</f>
        <v>34.607999999999997</v>
      </c>
    </row>
    <row r="55" spans="1:24" ht="18.75" customHeight="1" x14ac:dyDescent="0.25">
      <c r="A55" s="514"/>
      <c r="B55" s="5" t="s">
        <v>320</v>
      </c>
      <c r="C55" s="22" t="s">
        <v>321</v>
      </c>
      <c r="D55" s="5" t="s">
        <v>243</v>
      </c>
      <c r="E55" s="26">
        <v>0</v>
      </c>
      <c r="F55" s="26">
        <v>34.634999999999998</v>
      </c>
      <c r="G55" s="26">
        <v>0</v>
      </c>
      <c r="H55" s="26">
        <v>290.04000000000002</v>
      </c>
      <c r="I55" s="26">
        <v>324.67500000000001</v>
      </c>
      <c r="J55" s="26">
        <v>278.03500000000003</v>
      </c>
      <c r="K55" s="26">
        <v>278.45552500000002</v>
      </c>
      <c r="L55" s="26"/>
      <c r="M55" s="22"/>
      <c r="N55" s="39"/>
      <c r="O55" s="39"/>
      <c r="P55" s="39"/>
      <c r="Q55" s="39"/>
      <c r="R55" s="39"/>
      <c r="S55" s="4"/>
      <c r="T55" s="39"/>
      <c r="U55" s="39"/>
      <c r="V55" s="39"/>
      <c r="W55" s="39"/>
      <c r="X55" s="39"/>
    </row>
    <row r="56" spans="1:24" ht="12.75" x14ac:dyDescent="0.25">
      <c r="A56" s="511">
        <v>3</v>
      </c>
      <c r="B56" s="515" t="s">
        <v>322</v>
      </c>
      <c r="C56" s="516"/>
      <c r="D56" s="5" t="s">
        <v>243</v>
      </c>
      <c r="E56" s="26">
        <f>E57+E63+E74+E87</f>
        <v>1193.96280602</v>
      </c>
      <c r="F56" s="26">
        <f>F57+F63+F74+F87-0.01</f>
        <v>902.98522360000004</v>
      </c>
      <c r="G56" s="26">
        <f>G57+G63+G74+G87</f>
        <v>4469.3808692123202</v>
      </c>
      <c r="H56" s="26">
        <f>H57+H63+H74+H87</f>
        <v>950.54662686246002</v>
      </c>
      <c r="I56" s="26">
        <f>SUM(E56:H56)</f>
        <v>7516.8755256947807</v>
      </c>
      <c r="J56" s="26">
        <f>SUM(J57:J87)+0.01</f>
        <v>7853.5430830178675</v>
      </c>
      <c r="K56" s="26">
        <f>SUM(K57:K87)</f>
        <v>8205.4628632312215</v>
      </c>
      <c r="L56" s="26"/>
      <c r="M56" s="22"/>
      <c r="N56" s="39"/>
      <c r="O56" s="39"/>
      <c r="P56" s="39"/>
      <c r="Q56" s="39"/>
      <c r="R56" s="39"/>
      <c r="S56" s="4"/>
      <c r="T56" s="39"/>
      <c r="U56" s="39"/>
      <c r="V56" s="39"/>
      <c r="W56" s="39"/>
      <c r="X56" s="39"/>
    </row>
    <row r="57" spans="1:24" ht="38.25" x14ac:dyDescent="0.25">
      <c r="A57" s="512"/>
      <c r="B57" s="5" t="s">
        <v>62</v>
      </c>
      <c r="C57" s="8" t="s">
        <v>323</v>
      </c>
      <c r="D57" s="5" t="s">
        <v>243</v>
      </c>
      <c r="E57" s="26">
        <f>N57</f>
        <v>95.520486000000005</v>
      </c>
      <c r="F57" s="26">
        <f>O57</f>
        <v>98.872082000000006</v>
      </c>
      <c r="G57" s="26">
        <f>P57</f>
        <v>299.22427599999997</v>
      </c>
      <c r="H57" s="26">
        <f>Q57</f>
        <v>108.92687000000001</v>
      </c>
      <c r="I57" s="26">
        <f>SUM(E57:H57)</f>
        <v>602.54371400000002</v>
      </c>
      <c r="J57" s="26">
        <f>I57*1.041</f>
        <v>627.24800627399998</v>
      </c>
      <c r="K57" s="26">
        <f>J57*1.041</f>
        <v>652.96517453123397</v>
      </c>
      <c r="L57" s="5" t="s">
        <v>62</v>
      </c>
      <c r="M57" s="8" t="s">
        <v>323</v>
      </c>
      <c r="N57" s="39">
        <f>N58+N61+N62</f>
        <v>95.520486000000005</v>
      </c>
      <c r="O57" s="39">
        <f>O58+O61+O62</f>
        <v>98.872082000000006</v>
      </c>
      <c r="P57" s="39">
        <f>P58+P61+P62</f>
        <v>299.22427599999997</v>
      </c>
      <c r="Q57" s="39">
        <f>Q58+Q61+Q62</f>
        <v>108.92687000000001</v>
      </c>
      <c r="R57" s="39">
        <f t="shared" ref="R57:R74" si="6">SUM(N57:Q57)</f>
        <v>602.54371400000002</v>
      </c>
      <c r="S57" s="4" t="s">
        <v>285</v>
      </c>
      <c r="T57" s="39"/>
      <c r="U57" s="39"/>
      <c r="V57" s="39"/>
      <c r="W57" s="39"/>
      <c r="X57" s="39"/>
    </row>
    <row r="58" spans="1:24" ht="18" hidden="1" customHeight="1" x14ac:dyDescent="0.25">
      <c r="A58" s="512"/>
      <c r="B58" s="5"/>
      <c r="C58" s="8"/>
      <c r="D58" s="5"/>
      <c r="E58" s="26"/>
      <c r="F58" s="26"/>
      <c r="G58" s="26"/>
      <c r="H58" s="26"/>
      <c r="I58" s="26"/>
      <c r="J58" s="26"/>
      <c r="K58" s="26"/>
      <c r="L58" s="515" t="s">
        <v>13</v>
      </c>
      <c r="M58" s="516"/>
      <c r="N58" s="39"/>
      <c r="O58" s="39"/>
      <c r="P58" s="39">
        <f>P59+P60</f>
        <v>188.62160800000001</v>
      </c>
      <c r="Q58" s="39"/>
      <c r="R58" s="39">
        <f t="shared" si="6"/>
        <v>188.62160800000001</v>
      </c>
      <c r="S58" s="4"/>
      <c r="T58" s="39"/>
      <c r="U58" s="39"/>
      <c r="V58" s="39"/>
      <c r="W58" s="39"/>
      <c r="X58" s="39"/>
    </row>
    <row r="59" spans="1:24" ht="42" hidden="1" customHeight="1" x14ac:dyDescent="0.25">
      <c r="A59" s="512"/>
      <c r="B59" s="5"/>
      <c r="C59" s="8"/>
      <c r="D59" s="5"/>
      <c r="E59" s="26"/>
      <c r="F59" s="26"/>
      <c r="G59" s="26"/>
      <c r="H59" s="26"/>
      <c r="I59" s="26"/>
      <c r="J59" s="26"/>
      <c r="K59" s="26"/>
      <c r="L59" s="13"/>
      <c r="M59" s="8" t="s">
        <v>324</v>
      </c>
      <c r="N59" s="39"/>
      <c r="O59" s="39"/>
      <c r="P59" s="39">
        <f>[4]бензин!$M$23/1000</f>
        <v>77.641608000000005</v>
      </c>
      <c r="Q59" s="39"/>
      <c r="R59" s="39">
        <f t="shared" si="6"/>
        <v>77.641608000000005</v>
      </c>
      <c r="S59" s="4"/>
      <c r="T59" s="39">
        <f>N59*20%</f>
        <v>0</v>
      </c>
      <c r="U59" s="39">
        <f>O59*20%</f>
        <v>0</v>
      </c>
      <c r="V59" s="39">
        <f>P59*20%</f>
        <v>15.528321600000002</v>
      </c>
      <c r="W59" s="39">
        <f>Q59*20%</f>
        <v>0</v>
      </c>
      <c r="X59" s="39">
        <f>SUM(T59:W59)</f>
        <v>15.528321600000002</v>
      </c>
    </row>
    <row r="60" spans="1:24" ht="17.25" hidden="1" customHeight="1" x14ac:dyDescent="0.25">
      <c r="A60" s="512"/>
      <c r="B60" s="5"/>
      <c r="C60" s="8"/>
      <c r="D60" s="5"/>
      <c r="E60" s="26"/>
      <c r="F60" s="26"/>
      <c r="G60" s="26"/>
      <c r="H60" s="26"/>
      <c r="I60" s="26"/>
      <c r="J60" s="26"/>
      <c r="K60" s="26"/>
      <c r="L60" s="32"/>
      <c r="M60" s="8" t="s">
        <v>325</v>
      </c>
      <c r="N60" s="39"/>
      <c r="O60" s="39"/>
      <c r="P60" s="39">
        <f>2000*55.49/1000</f>
        <v>110.98</v>
      </c>
      <c r="Q60" s="39"/>
      <c r="R60" s="39">
        <f t="shared" si="6"/>
        <v>110.98</v>
      </c>
      <c r="S60" s="4"/>
      <c r="T60" s="39"/>
      <c r="U60" s="39"/>
      <c r="V60" s="39">
        <f>P60*20%</f>
        <v>22.196000000000002</v>
      </c>
      <c r="W60" s="39"/>
      <c r="X60" s="39">
        <f>SUM(T60:W60)</f>
        <v>22.196000000000002</v>
      </c>
    </row>
    <row r="61" spans="1:24" ht="23.25" hidden="1" customHeight="1" x14ac:dyDescent="0.25">
      <c r="A61" s="512"/>
      <c r="B61" s="5"/>
      <c r="C61" s="8"/>
      <c r="D61" s="5"/>
      <c r="E61" s="26"/>
      <c r="F61" s="26"/>
      <c r="G61" s="26" t="s">
        <v>326</v>
      </c>
      <c r="H61" s="26"/>
      <c r="I61" s="26"/>
      <c r="J61" s="26"/>
      <c r="K61" s="26"/>
      <c r="L61" s="515" t="s">
        <v>327</v>
      </c>
      <c r="M61" s="516"/>
      <c r="N61" s="39">
        <f>57*15.05*55.49/1000</f>
        <v>47.602096500000002</v>
      </c>
      <c r="O61" s="39">
        <f>59*15.05*55.49/1000</f>
        <v>49.2723455</v>
      </c>
      <c r="P61" s="39">
        <f>66*15.05*55.49/1000</f>
        <v>55.118217000000001</v>
      </c>
      <c r="Q61" s="39">
        <f>65*15.05*55.49/1000</f>
        <v>54.283092500000002</v>
      </c>
      <c r="R61" s="39">
        <f t="shared" si="6"/>
        <v>206.27575150000001</v>
      </c>
      <c r="S61" s="4"/>
      <c r="T61" s="39">
        <f>N61*20%</f>
        <v>9.5204193000000004</v>
      </c>
      <c r="U61" s="39">
        <f>O61*20%</f>
        <v>9.8544691000000011</v>
      </c>
      <c r="V61" s="39">
        <f>P61*20%</f>
        <v>11.023643400000001</v>
      </c>
      <c r="W61" s="39">
        <f>Q61*20%</f>
        <v>10.856618500000002</v>
      </c>
      <c r="X61" s="39">
        <f>SUM(T61:W61)</f>
        <v>41.255150300000004</v>
      </c>
    </row>
    <row r="62" spans="1:24" ht="36" hidden="1" customHeight="1" x14ac:dyDescent="0.25">
      <c r="A62" s="512"/>
      <c r="B62" s="5"/>
      <c r="C62" s="8"/>
      <c r="D62" s="5"/>
      <c r="E62" s="26"/>
      <c r="F62" s="26"/>
      <c r="G62" s="26"/>
      <c r="H62" s="26"/>
      <c r="I62" s="26"/>
      <c r="J62" s="26"/>
      <c r="K62" s="26"/>
      <c r="L62" s="515" t="s">
        <v>328</v>
      </c>
      <c r="M62" s="516"/>
      <c r="N62" s="39">
        <f>57*15.15*55.49/1000</f>
        <v>47.918389500000004</v>
      </c>
      <c r="O62" s="39">
        <f>59*15.15*55.49/1000</f>
        <v>49.599736500000006</v>
      </c>
      <c r="P62" s="39">
        <f>66*15.15*55.49/1000</f>
        <v>55.484451</v>
      </c>
      <c r="Q62" s="39">
        <f>65*15.15*55.49/1000</f>
        <v>54.643777500000006</v>
      </c>
      <c r="R62" s="39">
        <f t="shared" si="6"/>
        <v>207.6463545</v>
      </c>
      <c r="S62" s="4"/>
      <c r="T62" s="39">
        <f>N62*20%</f>
        <v>9.5836779000000014</v>
      </c>
      <c r="U62" s="39">
        <f>O62*20%</f>
        <v>9.9199473000000022</v>
      </c>
      <c r="V62" s="39">
        <f>P62*20%</f>
        <v>11.096890200000001</v>
      </c>
      <c r="W62" s="39">
        <f>Q62*20%</f>
        <v>10.928755500000001</v>
      </c>
      <c r="X62" s="39">
        <f>SUM(T62:W62)</f>
        <v>41.5292709</v>
      </c>
    </row>
    <row r="63" spans="1:24" ht="38.25" x14ac:dyDescent="0.25">
      <c r="A63" s="512"/>
      <c r="B63" s="5" t="s">
        <v>64</v>
      </c>
      <c r="C63" s="8" t="s">
        <v>329</v>
      </c>
      <c r="D63" s="5" t="s">
        <v>243</v>
      </c>
      <c r="E63" s="26">
        <f>N63</f>
        <v>165.88128</v>
      </c>
      <c r="F63" s="26">
        <f>O63</f>
        <v>138.23439999999999</v>
      </c>
      <c r="G63" s="26">
        <f>P63</f>
        <v>3857.51387264</v>
      </c>
      <c r="H63" s="26">
        <f>Q63</f>
        <v>165.88128</v>
      </c>
      <c r="I63" s="26">
        <f>SUM(E63:H63)-0.01</f>
        <v>4327.5008326399993</v>
      </c>
      <c r="J63" s="26">
        <f>I63*1.041</f>
        <v>4504.9283667782393</v>
      </c>
      <c r="K63" s="26">
        <f>J63*1.041</f>
        <v>4689.6304298161467</v>
      </c>
      <c r="L63" s="5" t="s">
        <v>64</v>
      </c>
      <c r="M63" s="8" t="s">
        <v>329</v>
      </c>
      <c r="N63" s="39">
        <f>N64+N71</f>
        <v>165.88128</v>
      </c>
      <c r="O63" s="39">
        <f>O64+O71</f>
        <v>138.23439999999999</v>
      </c>
      <c r="P63" s="39">
        <f>P64+P71</f>
        <v>3857.51387264</v>
      </c>
      <c r="Q63" s="39">
        <f>Q64+Q71</f>
        <v>165.88128</v>
      </c>
      <c r="R63" s="39">
        <f t="shared" si="6"/>
        <v>4327.5108326399995</v>
      </c>
      <c r="S63" s="4" t="s">
        <v>285</v>
      </c>
      <c r="T63" s="39"/>
      <c r="U63" s="39"/>
      <c r="V63" s="39"/>
      <c r="W63" s="39"/>
      <c r="X63" s="39"/>
    </row>
    <row r="64" spans="1:24" ht="18" hidden="1" customHeight="1" x14ac:dyDescent="0.25">
      <c r="A64" s="512"/>
      <c r="B64" s="5"/>
      <c r="C64" s="8"/>
      <c r="D64" s="5"/>
      <c r="E64" s="26"/>
      <c r="F64" s="26"/>
      <c r="G64" s="26"/>
      <c r="H64" s="26"/>
      <c r="I64" s="26"/>
      <c r="J64" s="26"/>
      <c r="K64" s="26"/>
      <c r="L64" s="515" t="s">
        <v>13</v>
      </c>
      <c r="M64" s="516"/>
      <c r="N64" s="39">
        <f>SUM(N65:N70)</f>
        <v>0</v>
      </c>
      <c r="O64" s="39">
        <f>SUM(O65:O70)</f>
        <v>0</v>
      </c>
      <c r="P64" s="39">
        <f>SUM(P65:P70)</f>
        <v>3719.2794726400002</v>
      </c>
      <c r="Q64" s="39">
        <f>SUM(Q65:Q70)</f>
        <v>0</v>
      </c>
      <c r="R64" s="39">
        <f t="shared" si="6"/>
        <v>3719.2794726400002</v>
      </c>
      <c r="S64" s="4"/>
      <c r="T64" s="39"/>
      <c r="U64" s="39"/>
      <c r="V64" s="39"/>
      <c r="W64" s="39"/>
      <c r="X64" s="39"/>
    </row>
    <row r="65" spans="1:24" ht="45" hidden="1" customHeight="1" x14ac:dyDescent="0.25">
      <c r="A65" s="512"/>
      <c r="B65" s="5"/>
      <c r="C65" s="8"/>
      <c r="D65" s="5"/>
      <c r="E65" s="26"/>
      <c r="F65" s="26"/>
      <c r="G65" s="26"/>
      <c r="H65" s="26"/>
      <c r="I65" s="26"/>
      <c r="J65" s="26"/>
      <c r="K65" s="26"/>
      <c r="L65" s="26"/>
      <c r="M65" s="8" t="s">
        <v>330</v>
      </c>
      <c r="N65" s="39"/>
      <c r="O65" s="39"/>
      <c r="P65" s="39">
        <f>[4]ДТ!$AW$28/1000</f>
        <v>2834.5793126400004</v>
      </c>
      <c r="Q65" s="39"/>
      <c r="R65" s="39">
        <f t="shared" si="6"/>
        <v>2834.5793126400004</v>
      </c>
      <c r="S65" s="4"/>
      <c r="T65" s="39">
        <f t="shared" ref="T65:W70" si="7">N65*20%</f>
        <v>0</v>
      </c>
      <c r="U65" s="39">
        <f t="shared" si="7"/>
        <v>0</v>
      </c>
      <c r="V65" s="39">
        <f t="shared" si="7"/>
        <v>566.91586252800005</v>
      </c>
      <c r="W65" s="39">
        <f t="shared" si="7"/>
        <v>0</v>
      </c>
      <c r="X65" s="39">
        <f t="shared" ref="X65:X70" si="8">SUM(T65:W65)</f>
        <v>566.91586252800005</v>
      </c>
    </row>
    <row r="66" spans="1:24" ht="27" hidden="1" customHeight="1" x14ac:dyDescent="0.25">
      <c r="A66" s="512"/>
      <c r="B66" s="5"/>
      <c r="C66" s="8"/>
      <c r="D66" s="5"/>
      <c r="E66" s="26"/>
      <c r="F66" s="26"/>
      <c r="G66" s="26"/>
      <c r="H66" s="26"/>
      <c r="I66" s="26"/>
      <c r="J66" s="26"/>
      <c r="K66" s="26"/>
      <c r="L66" s="50"/>
      <c r="M66" s="51" t="s">
        <v>331</v>
      </c>
      <c r="N66" s="39"/>
      <c r="O66" s="39"/>
      <c r="P66" s="39">
        <f>4000*55.29376/1000</f>
        <v>221.17504</v>
      </c>
      <c r="Q66" s="39"/>
      <c r="R66" s="39">
        <f t="shared" si="6"/>
        <v>221.17504</v>
      </c>
      <c r="S66" s="4"/>
      <c r="T66" s="39">
        <f t="shared" si="7"/>
        <v>0</v>
      </c>
      <c r="U66" s="39">
        <f t="shared" si="7"/>
        <v>0</v>
      </c>
      <c r="V66" s="39">
        <f t="shared" si="7"/>
        <v>44.235008000000001</v>
      </c>
      <c r="W66" s="39">
        <f t="shared" si="7"/>
        <v>0</v>
      </c>
      <c r="X66" s="39">
        <f t="shared" si="8"/>
        <v>44.235008000000001</v>
      </c>
    </row>
    <row r="67" spans="1:24" ht="27" hidden="1" customHeight="1" x14ac:dyDescent="0.25">
      <c r="A67" s="512"/>
      <c r="B67" s="5"/>
      <c r="C67" s="8"/>
      <c r="D67" s="5"/>
      <c r="E67" s="26"/>
      <c r="F67" s="26"/>
      <c r="G67" s="26"/>
      <c r="H67" s="26"/>
      <c r="I67" s="26"/>
      <c r="J67" s="26"/>
      <c r="K67" s="26"/>
      <c r="L67" s="50"/>
      <c r="M67" s="51" t="s">
        <v>332</v>
      </c>
      <c r="N67" s="39"/>
      <c r="O67" s="39"/>
      <c r="P67" s="39">
        <f>6000*55.29376/1000</f>
        <v>331.76256000000001</v>
      </c>
      <c r="Q67" s="39"/>
      <c r="R67" s="39">
        <f t="shared" si="6"/>
        <v>331.76256000000001</v>
      </c>
      <c r="S67" s="4"/>
      <c r="T67" s="39">
        <f t="shared" si="7"/>
        <v>0</v>
      </c>
      <c r="U67" s="39">
        <f t="shared" si="7"/>
        <v>0</v>
      </c>
      <c r="V67" s="39">
        <f t="shared" si="7"/>
        <v>66.352512000000004</v>
      </c>
      <c r="W67" s="39">
        <f t="shared" si="7"/>
        <v>0</v>
      </c>
      <c r="X67" s="39">
        <f t="shared" si="8"/>
        <v>66.352512000000004</v>
      </c>
    </row>
    <row r="68" spans="1:24" ht="27" hidden="1" customHeight="1" x14ac:dyDescent="0.25">
      <c r="A68" s="512"/>
      <c r="B68" s="5"/>
      <c r="C68" s="8"/>
      <c r="D68" s="5"/>
      <c r="E68" s="26"/>
      <c r="F68" s="26"/>
      <c r="G68" s="26"/>
      <c r="H68" s="26"/>
      <c r="I68" s="26"/>
      <c r="J68" s="26"/>
      <c r="K68" s="26"/>
      <c r="L68" s="50"/>
      <c r="M68" s="51" t="s">
        <v>333</v>
      </c>
      <c r="N68" s="39"/>
      <c r="O68" s="39"/>
      <c r="P68" s="39">
        <f>1500*55.29376/1000</f>
        <v>82.940640000000002</v>
      </c>
      <c r="Q68" s="39"/>
      <c r="R68" s="39">
        <f t="shared" si="6"/>
        <v>82.940640000000002</v>
      </c>
      <c r="S68" s="4"/>
      <c r="T68" s="39">
        <f t="shared" si="7"/>
        <v>0</v>
      </c>
      <c r="U68" s="39">
        <f t="shared" si="7"/>
        <v>0</v>
      </c>
      <c r="V68" s="39">
        <f t="shared" si="7"/>
        <v>16.588128000000001</v>
      </c>
      <c r="W68" s="39">
        <f t="shared" si="7"/>
        <v>0</v>
      </c>
      <c r="X68" s="39">
        <f t="shared" si="8"/>
        <v>16.588128000000001</v>
      </c>
    </row>
    <row r="69" spans="1:24" ht="27" hidden="1" customHeight="1" x14ac:dyDescent="0.25">
      <c r="A69" s="512"/>
      <c r="B69" s="5"/>
      <c r="C69" s="8"/>
      <c r="D69" s="5"/>
      <c r="E69" s="26"/>
      <c r="F69" s="26"/>
      <c r="G69" s="26"/>
      <c r="H69" s="26"/>
      <c r="I69" s="26"/>
      <c r="J69" s="26"/>
      <c r="K69" s="26"/>
      <c r="L69" s="50"/>
      <c r="M69" s="51" t="s">
        <v>334</v>
      </c>
      <c r="N69" s="39"/>
      <c r="O69" s="39"/>
      <c r="P69" s="39">
        <f>1500*55.29376/1000</f>
        <v>82.940640000000002</v>
      </c>
      <c r="Q69" s="39"/>
      <c r="R69" s="39">
        <f t="shared" si="6"/>
        <v>82.940640000000002</v>
      </c>
      <c r="S69" s="4"/>
      <c r="T69" s="39">
        <f t="shared" si="7"/>
        <v>0</v>
      </c>
      <c r="U69" s="39">
        <f t="shared" si="7"/>
        <v>0</v>
      </c>
      <c r="V69" s="39">
        <f t="shared" si="7"/>
        <v>16.588128000000001</v>
      </c>
      <c r="W69" s="39">
        <f t="shared" si="7"/>
        <v>0</v>
      </c>
      <c r="X69" s="39">
        <f t="shared" si="8"/>
        <v>16.588128000000001</v>
      </c>
    </row>
    <row r="70" spans="1:24" ht="27" hidden="1" customHeight="1" x14ac:dyDescent="0.25">
      <c r="A70" s="512"/>
      <c r="B70" s="5"/>
      <c r="C70" s="8"/>
      <c r="D70" s="5"/>
      <c r="E70" s="26"/>
      <c r="F70" s="26"/>
      <c r="G70" s="26"/>
      <c r="H70" s="26"/>
      <c r="I70" s="26"/>
      <c r="J70" s="26"/>
      <c r="K70" s="26"/>
      <c r="L70" s="50"/>
      <c r="M70" s="51" t="s">
        <v>335</v>
      </c>
      <c r="N70" s="39"/>
      <c r="O70" s="39"/>
      <c r="P70" s="39">
        <f>3000*55.29376/1000</f>
        <v>165.88128</v>
      </c>
      <c r="Q70" s="39"/>
      <c r="R70" s="39">
        <f t="shared" si="6"/>
        <v>165.88128</v>
      </c>
      <c r="S70" s="4"/>
      <c r="T70" s="39">
        <f t="shared" si="7"/>
        <v>0</v>
      </c>
      <c r="U70" s="39">
        <f t="shared" si="7"/>
        <v>0</v>
      </c>
      <c r="V70" s="39">
        <f t="shared" si="7"/>
        <v>33.176256000000002</v>
      </c>
      <c r="W70" s="39">
        <f t="shared" si="7"/>
        <v>0</v>
      </c>
      <c r="X70" s="39">
        <f t="shared" si="8"/>
        <v>33.176256000000002</v>
      </c>
    </row>
    <row r="71" spans="1:24" ht="27" hidden="1" customHeight="1" x14ac:dyDescent="0.25">
      <c r="A71" s="512"/>
      <c r="B71" s="5"/>
      <c r="C71" s="8"/>
      <c r="D71" s="5"/>
      <c r="E71" s="26"/>
      <c r="F71" s="26"/>
      <c r="G71" s="26"/>
      <c r="H71" s="26"/>
      <c r="I71" s="26"/>
      <c r="J71" s="26"/>
      <c r="K71" s="26"/>
      <c r="L71" s="515" t="s">
        <v>336</v>
      </c>
      <c r="M71" s="516"/>
      <c r="N71" s="39">
        <f>SUM(N72:N73)</f>
        <v>165.88128</v>
      </c>
      <c r="O71" s="39">
        <f>SUM(O72:O73)</f>
        <v>138.23439999999999</v>
      </c>
      <c r="P71" s="39">
        <f>SUM(P72:P73)</f>
        <v>138.23439999999999</v>
      </c>
      <c r="Q71" s="39">
        <f>SUM(Q72:Q73)</f>
        <v>165.88128</v>
      </c>
      <c r="R71" s="39">
        <f t="shared" si="6"/>
        <v>608.23136</v>
      </c>
      <c r="S71" s="4"/>
      <c r="T71" s="39"/>
      <c r="U71" s="39"/>
      <c r="V71" s="39"/>
      <c r="W71" s="39"/>
      <c r="X71" s="39"/>
    </row>
    <row r="72" spans="1:24" ht="27" hidden="1" customHeight="1" x14ac:dyDescent="0.25">
      <c r="A72" s="512"/>
      <c r="B72" s="5"/>
      <c r="C72" s="8"/>
      <c r="D72" s="5"/>
      <c r="E72" s="26"/>
      <c r="F72" s="26"/>
      <c r="G72" s="26"/>
      <c r="H72" s="26"/>
      <c r="I72" s="26"/>
      <c r="J72" s="26"/>
      <c r="K72" s="26"/>
      <c r="L72" s="32"/>
      <c r="M72" s="51" t="s">
        <v>337</v>
      </c>
      <c r="N72" s="39">
        <f>2000*55.29376/1000</f>
        <v>110.58752</v>
      </c>
      <c r="O72" s="39">
        <f>1500*55.29376/1000</f>
        <v>82.940640000000002</v>
      </c>
      <c r="P72" s="39">
        <f>1500*55.29376/1000</f>
        <v>82.940640000000002</v>
      </c>
      <c r="Q72" s="39">
        <f>2000*55.29376/1000</f>
        <v>110.58752</v>
      </c>
      <c r="R72" s="39">
        <f t="shared" si="6"/>
        <v>387.05631999999997</v>
      </c>
      <c r="S72" s="4"/>
      <c r="T72" s="39">
        <f t="shared" ref="T72:W73" si="9">N72*20%</f>
        <v>22.117504</v>
      </c>
      <c r="U72" s="39">
        <f t="shared" si="9"/>
        <v>16.588128000000001</v>
      </c>
      <c r="V72" s="39">
        <f t="shared" si="9"/>
        <v>16.588128000000001</v>
      </c>
      <c r="W72" s="39">
        <f t="shared" si="9"/>
        <v>22.117504</v>
      </c>
      <c r="X72" s="39">
        <f>SUM(T72:W72)</f>
        <v>77.411264000000003</v>
      </c>
    </row>
    <row r="73" spans="1:24" ht="27" hidden="1" customHeight="1" x14ac:dyDescent="0.25">
      <c r="A73" s="512"/>
      <c r="B73" s="5"/>
      <c r="C73" s="8"/>
      <c r="D73" s="5"/>
      <c r="E73" s="26"/>
      <c r="F73" s="26"/>
      <c r="G73" s="26"/>
      <c r="H73" s="26"/>
      <c r="I73" s="26"/>
      <c r="J73" s="26"/>
      <c r="K73" s="26"/>
      <c r="L73" s="32"/>
      <c r="M73" s="51" t="s">
        <v>338</v>
      </c>
      <c r="N73" s="39">
        <f>1000*55.29376/1000</f>
        <v>55.293759999999999</v>
      </c>
      <c r="O73" s="39">
        <f>1000*55.29376/1000</f>
        <v>55.293759999999999</v>
      </c>
      <c r="P73" s="39">
        <f>1000*55.29376/1000</f>
        <v>55.293759999999999</v>
      </c>
      <c r="Q73" s="39">
        <f>1000*55.29376/1000</f>
        <v>55.293759999999999</v>
      </c>
      <c r="R73" s="39">
        <f t="shared" si="6"/>
        <v>221.17504</v>
      </c>
      <c r="S73" s="4"/>
      <c r="T73" s="39">
        <f t="shared" si="9"/>
        <v>11.058752</v>
      </c>
      <c r="U73" s="39">
        <f t="shared" si="9"/>
        <v>11.058752</v>
      </c>
      <c r="V73" s="39">
        <f t="shared" si="9"/>
        <v>11.058752</v>
      </c>
      <c r="W73" s="39">
        <f t="shared" si="9"/>
        <v>11.058752</v>
      </c>
      <c r="X73" s="39">
        <f>SUM(T73:W73)</f>
        <v>44.235008000000001</v>
      </c>
    </row>
    <row r="74" spans="1:24" ht="18.75" customHeight="1" x14ac:dyDescent="0.25">
      <c r="A74" s="512"/>
      <c r="B74" s="5" t="s">
        <v>122</v>
      </c>
      <c r="C74" s="8" t="s">
        <v>339</v>
      </c>
      <c r="D74" s="5" t="s">
        <v>243</v>
      </c>
      <c r="E74" s="26">
        <f>N74</f>
        <v>644.66322161000005</v>
      </c>
      <c r="F74" s="26">
        <f>O74</f>
        <v>409.90622909000001</v>
      </c>
      <c r="G74" s="26">
        <f>P74</f>
        <v>173.32536897694001</v>
      </c>
      <c r="H74" s="26">
        <f>Q74</f>
        <v>423.48016905694004</v>
      </c>
      <c r="I74" s="26">
        <f>SUM(E74:H74)+0.01</f>
        <v>1651.3849887338802</v>
      </c>
      <c r="J74" s="26">
        <f>I74*1.052</f>
        <v>1737.2570081480419</v>
      </c>
      <c r="K74" s="26">
        <f>J74*1.052</f>
        <v>1827.5943725717402</v>
      </c>
      <c r="L74" s="5" t="s">
        <v>122</v>
      </c>
      <c r="M74" s="8" t="s">
        <v>339</v>
      </c>
      <c r="N74" s="39">
        <f>N75+N76+N80+N83+N86</f>
        <v>644.66322161000005</v>
      </c>
      <c r="O74" s="39">
        <f>O75+O76+O80+O83+O86</f>
        <v>409.90622909000001</v>
      </c>
      <c r="P74" s="39">
        <f>P75+P76+P80+P83+P86</f>
        <v>173.32536897694001</v>
      </c>
      <c r="Q74" s="39">
        <f>Q75+Q76+Q80+Q83+Q86</f>
        <v>423.48016905694004</v>
      </c>
      <c r="R74" s="39">
        <f t="shared" si="6"/>
        <v>1651.3749887338802</v>
      </c>
      <c r="S74" s="4" t="s">
        <v>252</v>
      </c>
      <c r="T74" s="39"/>
      <c r="U74" s="39"/>
      <c r="V74" s="39"/>
      <c r="W74" s="39"/>
      <c r="X74" s="39"/>
    </row>
    <row r="75" spans="1:24" ht="18" hidden="1" customHeight="1" x14ac:dyDescent="0.25">
      <c r="A75" s="512"/>
      <c r="B75" s="5"/>
      <c r="C75" s="8"/>
      <c r="D75" s="5"/>
      <c r="E75" s="26"/>
      <c r="F75" s="26"/>
      <c r="G75" s="26"/>
      <c r="H75" s="26"/>
      <c r="I75" s="26"/>
      <c r="J75" s="26"/>
      <c r="K75" s="26"/>
      <c r="L75" s="515" t="s">
        <v>13</v>
      </c>
      <c r="M75" s="516"/>
      <c r="N75" s="39"/>
      <c r="O75" s="39"/>
      <c r="P75" s="39"/>
      <c r="Q75" s="39"/>
      <c r="R75" s="39"/>
      <c r="S75" s="4"/>
      <c r="T75" s="39"/>
      <c r="U75" s="39"/>
      <c r="V75" s="39"/>
      <c r="W75" s="39"/>
      <c r="X75" s="39"/>
    </row>
    <row r="76" spans="1:24" ht="18" hidden="1" customHeight="1" x14ac:dyDescent="0.25">
      <c r="A76" s="512"/>
      <c r="B76" s="5"/>
      <c r="C76" s="8"/>
      <c r="D76" s="5"/>
      <c r="E76" s="26"/>
      <c r="F76" s="26"/>
      <c r="G76" s="26"/>
      <c r="H76" s="26"/>
      <c r="I76" s="26"/>
      <c r="J76" s="26"/>
      <c r="K76" s="26"/>
      <c r="L76" s="515" t="s">
        <v>256</v>
      </c>
      <c r="M76" s="516"/>
      <c r="N76" s="39">
        <f>SUM(N77:N79)</f>
        <v>111.45637398000001</v>
      </c>
      <c r="O76" s="39">
        <f>SUM(O77:O79)</f>
        <v>95.661328690128002</v>
      </c>
      <c r="P76" s="39">
        <f>SUM(P77:P79)</f>
        <v>57.672102461256003</v>
      </c>
      <c r="Q76" s="39">
        <f>SUM(Q77:Q79)</f>
        <v>96.365538549584002</v>
      </c>
      <c r="R76" s="39">
        <f t="shared" ref="R76:R87" si="10">SUM(N76:Q76)</f>
        <v>361.15534368096803</v>
      </c>
      <c r="S76" s="4"/>
      <c r="T76" s="39"/>
      <c r="U76" s="39"/>
      <c r="V76" s="39"/>
      <c r="W76" s="39"/>
      <c r="X76" s="39"/>
    </row>
    <row r="77" spans="1:24" ht="18" hidden="1" customHeight="1" x14ac:dyDescent="0.25">
      <c r="A77" s="512"/>
      <c r="B77" s="5"/>
      <c r="C77" s="8"/>
      <c r="D77" s="5"/>
      <c r="E77" s="26"/>
      <c r="F77" s="26"/>
      <c r="G77" s="26"/>
      <c r="H77" s="26"/>
      <c r="I77" s="26"/>
      <c r="J77" s="26"/>
      <c r="K77" s="26"/>
      <c r="L77" s="26"/>
      <c r="M77" s="8" t="s">
        <v>340</v>
      </c>
      <c r="N77" s="39">
        <f>'[5]Дудинка, Ленина 2019'!$O$20/1000</f>
        <v>0.9199939800000001</v>
      </c>
      <c r="O77" s="39">
        <f>'[5]Дудинка, Ленина 2019'!$O$21/1000</f>
        <v>0.56095849012800003</v>
      </c>
      <c r="P77" s="39">
        <f>'[5]Дудинка, Ленина 2019'!$O$22/1000</f>
        <v>0.97632522125600008</v>
      </c>
      <c r="Q77" s="39">
        <f>'[5]Дудинка, Ленина 2019'!$O$23/1000</f>
        <v>0.46935114958400004</v>
      </c>
      <c r="R77" s="39">
        <f t="shared" si="10"/>
        <v>2.9266288409680001</v>
      </c>
      <c r="S77" s="4"/>
      <c r="T77" s="39">
        <f t="shared" ref="T77:W79" si="11">N77*20%</f>
        <v>0.18399879600000002</v>
      </c>
      <c r="U77" s="39">
        <f t="shared" si="11"/>
        <v>0.11219169802560001</v>
      </c>
      <c r="V77" s="39">
        <f t="shared" si="11"/>
        <v>0.19526504425120003</v>
      </c>
      <c r="W77" s="39">
        <f t="shared" si="11"/>
        <v>9.387022991680001E-2</v>
      </c>
      <c r="X77" s="39">
        <f>SUM(T77:W77)</f>
        <v>0.58532576819360016</v>
      </c>
    </row>
    <row r="78" spans="1:24" ht="18" hidden="1" customHeight="1" x14ac:dyDescent="0.25">
      <c r="A78" s="512"/>
      <c r="B78" s="5"/>
      <c r="C78" s="8"/>
      <c r="D78" s="5"/>
      <c r="E78" s="26"/>
      <c r="F78" s="26"/>
      <c r="G78" s="26"/>
      <c r="H78" s="26"/>
      <c r="I78" s="26"/>
      <c r="J78" s="26"/>
      <c r="K78" s="26"/>
      <c r="L78" s="26"/>
      <c r="M78" s="8" t="s">
        <v>341</v>
      </c>
      <c r="N78" s="39">
        <f>'[5]Дудинка, гостиница 2019'!$T$20/1000</f>
        <v>11.28</v>
      </c>
      <c r="O78" s="39">
        <f>'[5]Дудинка, гостиница 2019'!$T$21/1000</f>
        <v>11.294410199999998</v>
      </c>
      <c r="P78" s="39">
        <f>'[5]Дудинка, гостиница 2019'!$T$22/1000</f>
        <v>15.156646479999999</v>
      </c>
      <c r="Q78" s="39">
        <f>'[5]Дудинка, гостиница 2019'!$T$23/1000</f>
        <v>11.88912</v>
      </c>
      <c r="R78" s="39">
        <f t="shared" si="10"/>
        <v>49.620176679999993</v>
      </c>
      <c r="S78" s="4"/>
      <c r="T78" s="39">
        <f t="shared" si="11"/>
        <v>2.2559999999999998</v>
      </c>
      <c r="U78" s="39">
        <f t="shared" si="11"/>
        <v>2.2588820399999996</v>
      </c>
      <c r="V78" s="39">
        <f t="shared" si="11"/>
        <v>3.031329296</v>
      </c>
      <c r="W78" s="39">
        <f t="shared" si="11"/>
        <v>2.3778239999999999</v>
      </c>
      <c r="X78" s="39">
        <f>SUM(T78:W78)</f>
        <v>9.9240353359999993</v>
      </c>
    </row>
    <row r="79" spans="1:24" ht="18" hidden="1" customHeight="1" x14ac:dyDescent="0.25">
      <c r="A79" s="512"/>
      <c r="B79" s="5"/>
      <c r="C79" s="8"/>
      <c r="D79" s="5"/>
      <c r="E79" s="26"/>
      <c r="F79" s="26"/>
      <c r="G79" s="26"/>
      <c r="H79" s="26"/>
      <c r="I79" s="26"/>
      <c r="J79" s="26"/>
      <c r="K79" s="26"/>
      <c r="L79" s="26"/>
      <c r="M79" s="8" t="s">
        <v>342</v>
      </c>
      <c r="N79" s="39">
        <f>'[5]Норильск 2018'!$O$19/1000</f>
        <v>99.256380000000007</v>
      </c>
      <c r="O79" s="39">
        <f>'[5]Норильск 2018'!$O$20/1000</f>
        <v>83.805959999999999</v>
      </c>
      <c r="P79" s="39">
        <f>'[5]Норильск 2018'!$O$21/1000</f>
        <v>41.539130759999999</v>
      </c>
      <c r="Q79" s="39">
        <f>'[5]Норильск 2018'!$O$22/1000</f>
        <v>84.007067399999997</v>
      </c>
      <c r="R79" s="39">
        <f t="shared" si="10"/>
        <v>308.60853816000002</v>
      </c>
      <c r="S79" s="4"/>
      <c r="T79" s="39">
        <f t="shared" si="11"/>
        <v>19.851276000000002</v>
      </c>
      <c r="U79" s="39">
        <f t="shared" si="11"/>
        <v>16.761192000000001</v>
      </c>
      <c r="V79" s="39">
        <f t="shared" si="11"/>
        <v>8.3078261520000005</v>
      </c>
      <c r="W79" s="39">
        <f t="shared" si="11"/>
        <v>16.801413480000001</v>
      </c>
      <c r="X79" s="39">
        <f>SUM(T79:W79)</f>
        <v>61.721707632000012</v>
      </c>
    </row>
    <row r="80" spans="1:24" ht="18" hidden="1" customHeight="1" x14ac:dyDescent="0.25">
      <c r="A80" s="512"/>
      <c r="B80" s="5"/>
      <c r="C80" s="8"/>
      <c r="D80" s="5"/>
      <c r="E80" s="26"/>
      <c r="F80" s="26"/>
      <c r="G80" s="26"/>
      <c r="H80" s="26"/>
      <c r="I80" s="26"/>
      <c r="J80" s="26"/>
      <c r="K80" s="26"/>
      <c r="L80" s="515" t="s">
        <v>59</v>
      </c>
      <c r="M80" s="516"/>
      <c r="N80" s="39">
        <f>SUM(N81:N82)</f>
        <v>33.373760000000004</v>
      </c>
      <c r="O80" s="39">
        <f>SUM(O81:O82)</f>
        <v>36.16276255999999</v>
      </c>
      <c r="P80" s="39">
        <f>SUM(P81:P82)</f>
        <v>34.944105200000003</v>
      </c>
      <c r="Q80" s="39">
        <f>SUM(Q81:Q82)</f>
        <v>35.964588000000006</v>
      </c>
      <c r="R80" s="39">
        <f t="shared" si="10"/>
        <v>140.44521576</v>
      </c>
      <c r="S80" s="4"/>
      <c r="T80" s="39"/>
      <c r="U80" s="39"/>
      <c r="V80" s="39"/>
      <c r="W80" s="39"/>
      <c r="X80" s="39"/>
    </row>
    <row r="81" spans="1:24" ht="18" hidden="1" customHeight="1" x14ac:dyDescent="0.25">
      <c r="A81" s="512"/>
      <c r="B81" s="5"/>
      <c r="C81" s="8"/>
      <c r="D81" s="5"/>
      <c r="E81" s="26"/>
      <c r="F81" s="26"/>
      <c r="G81" s="26"/>
      <c r="H81" s="26"/>
      <c r="I81" s="26"/>
      <c r="J81" s="26"/>
      <c r="K81" s="26"/>
      <c r="L81" s="32"/>
      <c r="M81" s="13" t="s">
        <v>296</v>
      </c>
      <c r="N81" s="39">
        <f>'[5]Дудинка, гостиница 2019'!$J$20/1000</f>
        <v>13.423200000000001</v>
      </c>
      <c r="O81" s="39">
        <f>'[5]Дудинка, гостиница 2019'!$J$21/1000</f>
        <v>11.700202559999997</v>
      </c>
      <c r="P81" s="39">
        <f>'[5]Дудинка, гостиница 2019'!$J$22/1000</f>
        <v>11.871286319999999</v>
      </c>
      <c r="Q81" s="39">
        <f>'[5]Дудинка, гостиница 2019'!$J$23/1000</f>
        <v>12.780804</v>
      </c>
      <c r="R81" s="39">
        <f t="shared" si="10"/>
        <v>49.775492880000002</v>
      </c>
      <c r="S81" s="4"/>
      <c r="T81" s="39">
        <f t="shared" ref="T81:W82" si="12">N81*20%</f>
        <v>2.6846400000000004</v>
      </c>
      <c r="U81" s="39">
        <f t="shared" si="12"/>
        <v>2.3400405119999994</v>
      </c>
      <c r="V81" s="39">
        <f t="shared" si="12"/>
        <v>2.3742572640000001</v>
      </c>
      <c r="W81" s="39">
        <f t="shared" si="12"/>
        <v>2.5561608000000002</v>
      </c>
      <c r="X81" s="39">
        <f>SUM(T81:W81)</f>
        <v>9.955098576000001</v>
      </c>
    </row>
    <row r="82" spans="1:24" ht="18" hidden="1" customHeight="1" x14ac:dyDescent="0.25">
      <c r="A82" s="512"/>
      <c r="B82" s="5"/>
      <c r="C82" s="8"/>
      <c r="D82" s="5"/>
      <c r="E82" s="26"/>
      <c r="F82" s="26"/>
      <c r="G82" s="26"/>
      <c r="H82" s="26"/>
      <c r="I82" s="26"/>
      <c r="J82" s="26"/>
      <c r="K82" s="26"/>
      <c r="L82" s="32"/>
      <c r="M82" s="13" t="s">
        <v>297</v>
      </c>
      <c r="N82" s="39">
        <f>'[5]Дудинка, гостиница 2019'!$O$20/1000</f>
        <v>19.950559999999999</v>
      </c>
      <c r="O82" s="39">
        <f>'[5]Дудинка, гостиница 2019'!$O$21/1000</f>
        <v>24.462559999999996</v>
      </c>
      <c r="P82" s="39">
        <f>'[5]Дудинка, гостиница 2019'!$O$22/1000</f>
        <v>23.072818880000003</v>
      </c>
      <c r="Q82" s="39">
        <f>'[5]Дудинка, гостиница 2019'!$O$23/1000</f>
        <v>23.183784000000003</v>
      </c>
      <c r="R82" s="39">
        <f t="shared" si="10"/>
        <v>90.669722879999995</v>
      </c>
      <c r="S82" s="4"/>
      <c r="T82" s="39">
        <f t="shared" si="12"/>
        <v>3.9901119999999999</v>
      </c>
      <c r="U82" s="39">
        <f t="shared" si="12"/>
        <v>4.892512</v>
      </c>
      <c r="V82" s="39">
        <f t="shared" si="12"/>
        <v>4.6145637760000007</v>
      </c>
      <c r="W82" s="39">
        <f t="shared" si="12"/>
        <v>4.6367568000000006</v>
      </c>
      <c r="X82" s="39">
        <f>SUM(T82:W82)</f>
        <v>18.133944576000001</v>
      </c>
    </row>
    <row r="83" spans="1:24" ht="18" hidden="1" customHeight="1" x14ac:dyDescent="0.25">
      <c r="A83" s="512"/>
      <c r="B83" s="5"/>
      <c r="C83" s="8"/>
      <c r="D83" s="5"/>
      <c r="E83" s="26"/>
      <c r="F83" s="26"/>
      <c r="G83" s="26"/>
      <c r="H83" s="26"/>
      <c r="I83" s="26"/>
      <c r="J83" s="26"/>
      <c r="K83" s="26"/>
      <c r="L83" s="515" t="s">
        <v>336</v>
      </c>
      <c r="M83" s="516"/>
      <c r="N83" s="39">
        <f>N84+N85</f>
        <v>491.98288160999999</v>
      </c>
      <c r="O83" s="35">
        <f>O84+O85</f>
        <v>273.29554161000004</v>
      </c>
      <c r="P83" s="35">
        <f>P84+P85</f>
        <v>72.378287096940014</v>
      </c>
      <c r="Q83" s="35">
        <f>Q84+Q85</f>
        <v>287.14512149694002</v>
      </c>
      <c r="R83" s="35">
        <f t="shared" si="10"/>
        <v>1124.80183181388</v>
      </c>
      <c r="S83" s="4"/>
      <c r="T83" s="22"/>
      <c r="U83" s="22"/>
      <c r="V83" s="22"/>
      <c r="W83" s="22"/>
      <c r="X83" s="22"/>
    </row>
    <row r="84" spans="1:24" ht="18" hidden="1" customHeight="1" x14ac:dyDescent="0.25">
      <c r="A84" s="512"/>
      <c r="B84" s="5"/>
      <c r="C84" s="8"/>
      <c r="D84" s="5"/>
      <c r="E84" s="26"/>
      <c r="F84" s="26"/>
      <c r="G84" s="26"/>
      <c r="H84" s="26"/>
      <c r="I84" s="26"/>
      <c r="J84" s="26"/>
      <c r="K84" s="26"/>
      <c r="L84" s="13"/>
      <c r="M84" s="13" t="s">
        <v>343</v>
      </c>
      <c r="N84" s="39">
        <f>'[5]Норильск 2018'!$J$19/1000</f>
        <v>491.38788</v>
      </c>
      <c r="O84" s="39">
        <f>'[5]Норильск 2018'!$J$20/1000</f>
        <v>272.70054000000005</v>
      </c>
      <c r="P84" s="39">
        <f>'[5]Норильск 2018'!$J$21/1000</f>
        <v>71.751155400000016</v>
      </c>
      <c r="Q84" s="39">
        <f>'[5]Норильск 2018'!$J$22/1000</f>
        <v>286.51798980000001</v>
      </c>
      <c r="R84" s="39">
        <f t="shared" si="10"/>
        <v>1122.3575652</v>
      </c>
      <c r="S84" s="4"/>
      <c r="T84" s="39">
        <f t="shared" ref="T84:W86" si="13">N84*20%</f>
        <v>98.27757600000001</v>
      </c>
      <c r="U84" s="39">
        <f t="shared" si="13"/>
        <v>54.540108000000011</v>
      </c>
      <c r="V84" s="39">
        <f t="shared" si="13"/>
        <v>14.350231080000004</v>
      </c>
      <c r="W84" s="39">
        <f t="shared" si="13"/>
        <v>57.303597960000005</v>
      </c>
      <c r="X84" s="39">
        <f>SUM(T84:W84)</f>
        <v>224.47151304000005</v>
      </c>
    </row>
    <row r="85" spans="1:24" ht="27" hidden="1" customHeight="1" x14ac:dyDescent="0.25">
      <c r="A85" s="512"/>
      <c r="B85" s="5"/>
      <c r="C85" s="8"/>
      <c r="D85" s="5"/>
      <c r="E85" s="26"/>
      <c r="F85" s="26"/>
      <c r="G85" s="26"/>
      <c r="H85" s="26"/>
      <c r="I85" s="26"/>
      <c r="J85" s="26"/>
      <c r="K85" s="26"/>
      <c r="L85" s="13"/>
      <c r="M85" s="8" t="s">
        <v>344</v>
      </c>
      <c r="N85" s="39">
        <f>'[5]Норильск 2018'!$M$74/1000</f>
        <v>0.59500161000000007</v>
      </c>
      <c r="O85" s="39">
        <f>'[5]Норильск 2018'!$M$75/1000</f>
        <v>0.59500161000000007</v>
      </c>
      <c r="P85" s="39">
        <f>'[5]Норильск 2018'!$M$76/1000</f>
        <v>0.62713169694000004</v>
      </c>
      <c r="Q85" s="39">
        <f>'[5]Норильск 2018'!$M$77/1000</f>
        <v>0.62713169694000004</v>
      </c>
      <c r="R85" s="39">
        <f t="shared" si="10"/>
        <v>2.44426661388</v>
      </c>
      <c r="S85" s="4"/>
      <c r="T85" s="39">
        <f t="shared" si="13"/>
        <v>0.11900032200000002</v>
      </c>
      <c r="U85" s="39">
        <f t="shared" si="13"/>
        <v>0.11900032200000002</v>
      </c>
      <c r="V85" s="39">
        <f t="shared" si="13"/>
        <v>0.12542633938800002</v>
      </c>
      <c r="W85" s="39">
        <f t="shared" si="13"/>
        <v>0.12542633938800002</v>
      </c>
      <c r="X85" s="39">
        <f>SUM(T85:W85)</f>
        <v>0.48885332277600008</v>
      </c>
    </row>
    <row r="86" spans="1:24" ht="18" hidden="1" customHeight="1" x14ac:dyDescent="0.25">
      <c r="A86" s="512"/>
      <c r="B86" s="5"/>
      <c r="C86" s="8"/>
      <c r="D86" s="5"/>
      <c r="E86" s="26"/>
      <c r="F86" s="26"/>
      <c r="G86" s="26"/>
      <c r="H86" s="26"/>
      <c r="I86" s="26"/>
      <c r="J86" s="26"/>
      <c r="K86" s="26"/>
      <c r="L86" s="515" t="s">
        <v>298</v>
      </c>
      <c r="M86" s="516"/>
      <c r="N86" s="39">
        <f>'[5]Дудинка, Ленина 2019'!$J$20/1000</f>
        <v>7.8502060199999999</v>
      </c>
      <c r="O86" s="39">
        <f>'[5]Дудинка, Ленина 2019'!$J$21/1000</f>
        <v>4.786596229872</v>
      </c>
      <c r="P86" s="39">
        <f>'[5]Дудинка, Ленина 2019'!$J$22/1000</f>
        <v>8.3308742187440004</v>
      </c>
      <c r="Q86" s="39">
        <f>'[5]Дудинка, Ленина 2019'!$J$23/1000</f>
        <v>4.004921010416</v>
      </c>
      <c r="R86" s="39">
        <f t="shared" si="10"/>
        <v>24.972597479031997</v>
      </c>
      <c r="S86" s="4"/>
      <c r="T86" s="39">
        <f t="shared" si="13"/>
        <v>1.570041204</v>
      </c>
      <c r="U86" s="39">
        <f t="shared" si="13"/>
        <v>0.95731924597439999</v>
      </c>
      <c r="V86" s="39">
        <f t="shared" si="13"/>
        <v>1.6661748437488002</v>
      </c>
      <c r="W86" s="39">
        <f t="shared" si="13"/>
        <v>0.80098420208320009</v>
      </c>
      <c r="X86" s="39">
        <f>SUM(T86:W86)</f>
        <v>4.9945194958064008</v>
      </c>
    </row>
    <row r="87" spans="1:24" ht="25.5" x14ac:dyDescent="0.25">
      <c r="A87" s="513"/>
      <c r="B87" s="5" t="s">
        <v>124</v>
      </c>
      <c r="C87" s="8" t="s">
        <v>345</v>
      </c>
      <c r="D87" s="5" t="s">
        <v>243</v>
      </c>
      <c r="E87" s="26">
        <f>N87</f>
        <v>287.89781840999996</v>
      </c>
      <c r="F87" s="26">
        <f>O87</f>
        <v>255.98251250999996</v>
      </c>
      <c r="G87" s="26">
        <f>P87</f>
        <v>139.31735159538002</v>
      </c>
      <c r="H87" s="26">
        <f>Q87</f>
        <v>252.25830780551999</v>
      </c>
      <c r="I87" s="26">
        <f>SUM(E87:H87)</f>
        <v>935.4559903208999</v>
      </c>
      <c r="J87" s="26">
        <f>I87*1.052</f>
        <v>984.09970181758672</v>
      </c>
      <c r="K87" s="26">
        <f>J87*1.052</f>
        <v>1035.2728863121013</v>
      </c>
      <c r="L87" s="5" t="s">
        <v>124</v>
      </c>
      <c r="M87" s="8" t="s">
        <v>345</v>
      </c>
      <c r="N87" s="39">
        <f>N88+N89+N93+N96+N98</f>
        <v>287.89781840999996</v>
      </c>
      <c r="O87" s="39">
        <f>O88+O89+O93+O96+O98</f>
        <v>255.98251250999996</v>
      </c>
      <c r="P87" s="39">
        <f>P88+P89+P93+P96+P98</f>
        <v>139.31735159538002</v>
      </c>
      <c r="Q87" s="39">
        <f>Q88+Q89+Q93+Q96+Q98</f>
        <v>252.25830780551999</v>
      </c>
      <c r="R87" s="39">
        <f t="shared" si="10"/>
        <v>935.4559903208999</v>
      </c>
      <c r="S87" s="4" t="s">
        <v>252</v>
      </c>
      <c r="T87" s="39"/>
      <c r="U87" s="39"/>
      <c r="V87" s="39"/>
      <c r="W87" s="39"/>
      <c r="X87" s="39"/>
    </row>
    <row r="88" spans="1:24" ht="18" hidden="1" customHeight="1" x14ac:dyDescent="0.25">
      <c r="A88" s="52"/>
      <c r="B88" s="5"/>
      <c r="C88" s="8"/>
      <c r="D88" s="5"/>
      <c r="E88" s="26"/>
      <c r="F88" s="26"/>
      <c r="G88" s="26"/>
      <c r="H88" s="26"/>
      <c r="I88" s="26"/>
      <c r="J88" s="26"/>
      <c r="K88" s="26"/>
      <c r="L88" s="515" t="s">
        <v>13</v>
      </c>
      <c r="M88" s="516"/>
      <c r="N88" s="39"/>
      <c r="O88" s="39"/>
      <c r="P88" s="39"/>
      <c r="Q88" s="39"/>
      <c r="R88" s="39"/>
      <c r="S88" s="4"/>
      <c r="T88" s="39"/>
      <c r="U88" s="39"/>
      <c r="V88" s="39"/>
      <c r="W88" s="39"/>
      <c r="X88" s="39"/>
    </row>
    <row r="89" spans="1:24" ht="18" hidden="1" customHeight="1" x14ac:dyDescent="0.25">
      <c r="A89" s="52"/>
      <c r="B89" s="5"/>
      <c r="C89" s="8"/>
      <c r="D89" s="5"/>
      <c r="E89" s="26"/>
      <c r="F89" s="26"/>
      <c r="G89" s="26"/>
      <c r="H89" s="26"/>
      <c r="I89" s="26"/>
      <c r="J89" s="26"/>
      <c r="K89" s="26"/>
      <c r="L89" s="515" t="s">
        <v>256</v>
      </c>
      <c r="M89" s="516"/>
      <c r="N89" s="39">
        <f>SUM(N90:N92)</f>
        <v>20.883414722057999</v>
      </c>
      <c r="O89" s="39">
        <f>SUM(O90:O92)</f>
        <v>16.818994260242999</v>
      </c>
      <c r="P89" s="39">
        <f>SUM(P90:P92)</f>
        <v>11.108345731728733</v>
      </c>
      <c r="Q89" s="39">
        <f>SUM(Q90:Q92)</f>
        <v>18.56511752316084</v>
      </c>
      <c r="R89" s="39">
        <f>SUM(N89:Q89)</f>
        <v>67.375872237190563</v>
      </c>
      <c r="S89" s="4"/>
      <c r="T89" s="39"/>
      <c r="U89" s="39"/>
      <c r="V89" s="39"/>
      <c r="W89" s="39"/>
      <c r="X89" s="39"/>
    </row>
    <row r="90" spans="1:24" ht="18" hidden="1" customHeight="1" x14ac:dyDescent="0.25">
      <c r="A90" s="52"/>
      <c r="B90" s="5"/>
      <c r="C90" s="8"/>
      <c r="D90" s="5"/>
      <c r="E90" s="26"/>
      <c r="F90" s="26"/>
      <c r="G90" s="26"/>
      <c r="H90" s="26"/>
      <c r="I90" s="26"/>
      <c r="J90" s="26"/>
      <c r="K90" s="26"/>
      <c r="L90" s="26"/>
      <c r="M90" s="8" t="s">
        <v>340</v>
      </c>
      <c r="N90" s="39">
        <f>('[5]Дудинка, Ленина 2019'!$O$43+'[5]Дудинка, Ленина 2019'!$O$91)/1000</f>
        <v>5.6614026920580001</v>
      </c>
      <c r="O90" s="39">
        <f>('[5]Дудинка, Ленина 2019'!$O$44+'[5]Дудинка, Ленина 2019'!$O$92)/1000</f>
        <v>2.5490617202429999</v>
      </c>
      <c r="P90" s="39">
        <f>('[5]Дудинка, Ленина 2019'!$O$45+'[5]Дудинка, Ленина 2019'!$O$93)/1000</f>
        <v>0.62772459244873202</v>
      </c>
      <c r="Q90" s="39">
        <f>('[5]Дудинка, Ленина 2019'!$O$46+'[5]Дудинка, Ленина 2019'!$O$94)/1000</f>
        <v>4.7113926000008401</v>
      </c>
      <c r="R90" s="39">
        <f>SUM(N90:Q90)</f>
        <v>13.549581604750573</v>
      </c>
      <c r="S90" s="4"/>
      <c r="T90" s="39">
        <f t="shared" ref="T90:W91" si="14">N90*20%</f>
        <v>1.1322805384116001</v>
      </c>
      <c r="U90" s="39">
        <f t="shared" si="14"/>
        <v>0.50981234404859999</v>
      </c>
      <c r="V90" s="39">
        <f t="shared" si="14"/>
        <v>0.12554491848974642</v>
      </c>
      <c r="W90" s="39">
        <f t="shared" si="14"/>
        <v>0.9422785200001681</v>
      </c>
      <c r="X90" s="39">
        <f>SUM(T90:W90)</f>
        <v>2.7099163209501147</v>
      </c>
    </row>
    <row r="91" spans="1:24" ht="18" hidden="1" customHeight="1" x14ac:dyDescent="0.25">
      <c r="A91" s="52"/>
      <c r="B91" s="5"/>
      <c r="C91" s="8"/>
      <c r="D91" s="5"/>
      <c r="E91" s="26"/>
      <c r="F91" s="26"/>
      <c r="G91" s="26"/>
      <c r="H91" s="26"/>
      <c r="I91" s="26"/>
      <c r="J91" s="26"/>
      <c r="K91" s="26"/>
      <c r="L91" s="26"/>
      <c r="M91" s="8" t="s">
        <v>341</v>
      </c>
      <c r="N91" s="39">
        <f>('[5]Дудинка, гостиница 2019'!$T$43+'[5]Дудинка, гостиница 2019'!$T$91)/1000</f>
        <v>15.222012029999998</v>
      </c>
      <c r="O91" s="39">
        <f>('[5]Дудинка, гостиница 2019'!$T$44+'[5]Дудинка, гостиница 2019'!$T$92)/1000</f>
        <v>14.269932539999997</v>
      </c>
      <c r="P91" s="39">
        <f>('[5]Дудинка, гостиница 2019'!$T$45+'[5]Дудинка, гостиница 2019'!$T$93)/1000</f>
        <v>10.48062113928</v>
      </c>
      <c r="Q91" s="39">
        <f>('[5]Дудинка, гостиница 2019'!$T$46+'[5]Дудинка, гостиница 2019'!$T$94)/1000</f>
        <v>13.85372492316</v>
      </c>
      <c r="R91" s="39">
        <f>SUM(N91:Q91)</f>
        <v>53.826290632439992</v>
      </c>
      <c r="S91" s="4"/>
      <c r="T91" s="39">
        <f t="shared" si="14"/>
        <v>3.0444024059999997</v>
      </c>
      <c r="U91" s="39">
        <f t="shared" si="14"/>
        <v>2.8539865079999998</v>
      </c>
      <c r="V91" s="39">
        <f t="shared" si="14"/>
        <v>2.0961242278559999</v>
      </c>
      <c r="W91" s="39">
        <f t="shared" si="14"/>
        <v>2.770744984632</v>
      </c>
      <c r="X91" s="39">
        <f>SUM(T91:W91)</f>
        <v>10.765258126488</v>
      </c>
    </row>
    <row r="92" spans="1:24" ht="18" hidden="1" customHeight="1" x14ac:dyDescent="0.25">
      <c r="A92" s="52"/>
      <c r="B92" s="5"/>
      <c r="C92" s="8"/>
      <c r="D92" s="5"/>
      <c r="E92" s="26"/>
      <c r="F92" s="26"/>
      <c r="G92" s="26"/>
      <c r="H92" s="26"/>
      <c r="I92" s="26"/>
      <c r="J92" s="26"/>
      <c r="K92" s="26"/>
      <c r="L92" s="26"/>
      <c r="M92" s="8" t="s">
        <v>346</v>
      </c>
      <c r="N92" s="39"/>
      <c r="O92" s="39"/>
      <c r="P92" s="39"/>
      <c r="Q92" s="39"/>
      <c r="R92" s="39"/>
      <c r="S92" s="4"/>
      <c r="T92" s="39"/>
      <c r="U92" s="39"/>
      <c r="V92" s="39"/>
      <c r="W92" s="39"/>
      <c r="X92" s="39"/>
    </row>
    <row r="93" spans="1:24" ht="18" hidden="1" customHeight="1" x14ac:dyDescent="0.25">
      <c r="A93" s="52"/>
      <c r="B93" s="5"/>
      <c r="C93" s="8"/>
      <c r="D93" s="5"/>
      <c r="E93" s="26"/>
      <c r="F93" s="26"/>
      <c r="G93" s="26"/>
      <c r="H93" s="26"/>
      <c r="I93" s="26"/>
      <c r="J93" s="26"/>
      <c r="K93" s="26"/>
      <c r="L93" s="515" t="s">
        <v>59</v>
      </c>
      <c r="M93" s="516"/>
      <c r="N93" s="39">
        <f>SUM(N94:N95)</f>
        <v>209.60636750999998</v>
      </c>
      <c r="O93" s="39">
        <f>SUM(O94:O95)</f>
        <v>208.31274044999998</v>
      </c>
      <c r="P93" s="39">
        <f>SUM(P94:P95)</f>
        <v>113.26138788312001</v>
      </c>
      <c r="Q93" s="39">
        <f>SUM(Q94:Q95)</f>
        <v>183.90008866445999</v>
      </c>
      <c r="R93" s="39">
        <f t="shared" ref="R93:R98" si="15">SUM(N93:Q93)</f>
        <v>715.08058450757994</v>
      </c>
      <c r="S93" s="4"/>
      <c r="T93" s="39"/>
      <c r="U93" s="39"/>
      <c r="V93" s="39"/>
      <c r="W93" s="39"/>
      <c r="X93" s="39"/>
    </row>
    <row r="94" spans="1:24" ht="18" hidden="1" customHeight="1" x14ac:dyDescent="0.25">
      <c r="A94" s="52"/>
      <c r="B94" s="5"/>
      <c r="C94" s="8"/>
      <c r="D94" s="5"/>
      <c r="E94" s="26"/>
      <c r="F94" s="26"/>
      <c r="G94" s="26"/>
      <c r="H94" s="26"/>
      <c r="I94" s="26"/>
      <c r="J94" s="26"/>
      <c r="K94" s="26"/>
      <c r="L94" s="32"/>
      <c r="M94" s="13" t="s">
        <v>296</v>
      </c>
      <c r="N94" s="39">
        <f>('[5]Дудинка, гостиница 2019'!$J$43+'[5]Дудинка, гостиница 2019'!$J$91)/1000</f>
        <v>185.61921894</v>
      </c>
      <c r="O94" s="39">
        <f>('[5]Дудинка, гостиница 2019'!$J$44+'[5]Дудинка, гостиница 2019'!$J$92)/1000</f>
        <v>183.59620640999998</v>
      </c>
      <c r="P94" s="39">
        <f>('[5]Дудинка, гостиница 2019'!$J$45+'[5]Дудинка, гостиница 2019'!$J$93)/1000</f>
        <v>94.677669499140009</v>
      </c>
      <c r="Q94" s="39">
        <f>('[5]Дудинка, гостиница 2019'!$J$46+'[5]Дудинка, гостиница 2019'!$J$94)/1000</f>
        <v>161.27603017343998</v>
      </c>
      <c r="R94" s="39">
        <f t="shared" si="15"/>
        <v>625.16912502257992</v>
      </c>
      <c r="S94" s="4"/>
      <c r="T94" s="39">
        <f t="shared" ref="T94:W95" si="16">N94*20%</f>
        <v>37.123843788000002</v>
      </c>
      <c r="U94" s="39">
        <f t="shared" si="16"/>
        <v>36.719241281999999</v>
      </c>
      <c r="V94" s="39">
        <f t="shared" si="16"/>
        <v>18.935533899828002</v>
      </c>
      <c r="W94" s="39">
        <f t="shared" si="16"/>
        <v>32.255206034687994</v>
      </c>
      <c r="X94" s="39">
        <f>SUM(T94:W94)</f>
        <v>125.03382500451599</v>
      </c>
    </row>
    <row r="95" spans="1:24" ht="18" hidden="1" customHeight="1" x14ac:dyDescent="0.25">
      <c r="A95" s="52"/>
      <c r="B95" s="5"/>
      <c r="C95" s="8"/>
      <c r="D95" s="5"/>
      <c r="E95" s="26"/>
      <c r="F95" s="26"/>
      <c r="G95" s="26"/>
      <c r="H95" s="26"/>
      <c r="I95" s="26"/>
      <c r="J95" s="26"/>
      <c r="K95" s="26"/>
      <c r="L95" s="32"/>
      <c r="M95" s="13" t="s">
        <v>297</v>
      </c>
      <c r="N95" s="39">
        <f>('[5]Дудинка, гостиница 2019'!$O$43+'[5]Дудинка, гостиница 2019'!$O$91)/1000</f>
        <v>23.987148569999999</v>
      </c>
      <c r="O95" s="39">
        <f>('[5]Дудинка, гостиница 2019'!$O$44+'[5]Дудинка, гостиница 2019'!$O$92)/1000</f>
        <v>24.716534039999999</v>
      </c>
      <c r="P95" s="39">
        <f>('[5]Дудинка, гостиница 2019'!$O$45+'[5]Дудинка, гостиница 2019'!$O$93)/1000</f>
        <v>18.583718383980003</v>
      </c>
      <c r="Q95" s="39">
        <f>('[5]Дудинка, гостиница 2019'!$O$46+'[5]Дудинка, гостиница 2019'!$O$94)/1000</f>
        <v>22.624058491019998</v>
      </c>
      <c r="R95" s="39">
        <f t="shared" si="15"/>
        <v>89.911459484999995</v>
      </c>
      <c r="S95" s="4"/>
      <c r="T95" s="39">
        <f t="shared" si="16"/>
        <v>4.7974297139999997</v>
      </c>
      <c r="U95" s="39">
        <f t="shared" si="16"/>
        <v>4.943306808</v>
      </c>
      <c r="V95" s="39">
        <f t="shared" si="16"/>
        <v>3.7167436767960007</v>
      </c>
      <c r="W95" s="39">
        <f t="shared" si="16"/>
        <v>4.5248116982040001</v>
      </c>
      <c r="X95" s="39">
        <f>SUM(T95:W95)</f>
        <v>17.982291897</v>
      </c>
    </row>
    <row r="96" spans="1:24" ht="18" hidden="1" customHeight="1" x14ac:dyDescent="0.25">
      <c r="A96" s="52"/>
      <c r="B96" s="5"/>
      <c r="C96" s="8"/>
      <c r="D96" s="5"/>
      <c r="E96" s="26"/>
      <c r="F96" s="26"/>
      <c r="G96" s="26"/>
      <c r="H96" s="26"/>
      <c r="I96" s="26"/>
      <c r="J96" s="26"/>
      <c r="K96" s="26"/>
      <c r="L96" s="515" t="s">
        <v>347</v>
      </c>
      <c r="M96" s="516"/>
      <c r="N96" s="39">
        <f>N97</f>
        <v>9.0999184500000005</v>
      </c>
      <c r="O96" s="39">
        <f>O97</f>
        <v>9.0999184500000005</v>
      </c>
      <c r="P96" s="39">
        <f>P97</f>
        <v>9.5913140463000008</v>
      </c>
      <c r="Q96" s="39">
        <f>Q97</f>
        <v>9.5913140463000008</v>
      </c>
      <c r="R96" s="39">
        <f t="shared" si="15"/>
        <v>37.382464992599999</v>
      </c>
      <c r="S96" s="4"/>
      <c r="T96" s="39"/>
      <c r="U96" s="39"/>
      <c r="V96" s="39"/>
      <c r="W96" s="39"/>
      <c r="X96" s="39"/>
    </row>
    <row r="97" spans="1:24" ht="24.75" hidden="1" customHeight="1" x14ac:dyDescent="0.25">
      <c r="A97" s="52"/>
      <c r="B97" s="5"/>
      <c r="C97" s="8"/>
      <c r="D97" s="5"/>
      <c r="E97" s="26"/>
      <c r="F97" s="26"/>
      <c r="G97" s="26"/>
      <c r="H97" s="26"/>
      <c r="I97" s="26"/>
      <c r="J97" s="26"/>
      <c r="K97" s="26"/>
      <c r="L97" s="32"/>
      <c r="M97" s="8" t="s">
        <v>344</v>
      </c>
      <c r="N97" s="39">
        <f>('[5]Норильск 2018'!$U$74+'[5]Норильск 2018'!$AC$74)/1000</f>
        <v>9.0999184500000005</v>
      </c>
      <c r="O97" s="39">
        <f>('[5]Норильск 2018'!$U$75+'[5]Норильск 2018'!$AC$75)/1000</f>
        <v>9.0999184500000005</v>
      </c>
      <c r="P97" s="39">
        <f>('[5]Норильск 2018'!$U$76+'[5]Норильск 2018'!$AC$76)/1000</f>
        <v>9.5913140463000008</v>
      </c>
      <c r="Q97" s="39">
        <f>('[5]Норильск 2018'!$U$77+'[5]Норильск 2018'!$AC$77)/1000</f>
        <v>9.5913140463000008</v>
      </c>
      <c r="R97" s="39">
        <f t="shared" si="15"/>
        <v>37.382464992599999</v>
      </c>
      <c r="S97" s="4"/>
      <c r="T97" s="39">
        <f t="shared" ref="T97:W98" si="17">N97*20%</f>
        <v>1.8199836900000002</v>
      </c>
      <c r="U97" s="39">
        <f t="shared" si="17"/>
        <v>1.8199836900000002</v>
      </c>
      <c r="V97" s="39">
        <f t="shared" si="17"/>
        <v>1.9182628092600003</v>
      </c>
      <c r="W97" s="39">
        <f t="shared" si="17"/>
        <v>1.9182628092600003</v>
      </c>
      <c r="X97" s="39">
        <f>SUM(T97:W97)</f>
        <v>7.4764929985200013</v>
      </c>
    </row>
    <row r="98" spans="1:24" ht="18" hidden="1" customHeight="1" x14ac:dyDescent="0.25">
      <c r="A98" s="52"/>
      <c r="B98" s="5"/>
      <c r="C98" s="8"/>
      <c r="D98" s="5"/>
      <c r="E98" s="26"/>
      <c r="F98" s="26"/>
      <c r="G98" s="26"/>
      <c r="H98" s="26"/>
      <c r="I98" s="26"/>
      <c r="J98" s="26"/>
      <c r="K98" s="26"/>
      <c r="L98" s="515" t="s">
        <v>298</v>
      </c>
      <c r="M98" s="516"/>
      <c r="N98" s="39">
        <f>('[5]Дудинка, Ленина 2019'!$J$43+'[5]Дудинка, Ленина 2019'!$J$91)/1000</f>
        <v>48.30811772794199</v>
      </c>
      <c r="O98" s="39">
        <f>('[5]Дудинка, Ленина 2019'!$J$44+'[5]Дудинка, Ленина 2019'!$J$92)/1000</f>
        <v>21.750859349756997</v>
      </c>
      <c r="P98" s="39">
        <f>('[5]Дудинка, Ленина 2019'!$J$45+'[5]Дудинка, Ленина 2019'!$J$93)/1000</f>
        <v>5.3563039342312679</v>
      </c>
      <c r="Q98" s="39">
        <f>('[5]Дудинка, Ленина 2019'!$J$46+'[5]Дудинка, Ленина 2019'!$J$94)/1000</f>
        <v>40.201787571599162</v>
      </c>
      <c r="R98" s="39">
        <f t="shared" si="15"/>
        <v>115.6170685835294</v>
      </c>
      <c r="S98" s="4"/>
      <c r="T98" s="39">
        <f t="shared" si="17"/>
        <v>9.6616235455883981</v>
      </c>
      <c r="U98" s="39">
        <f t="shared" si="17"/>
        <v>4.3501718699513994</v>
      </c>
      <c r="V98" s="39">
        <f t="shared" si="17"/>
        <v>1.0712607868462536</v>
      </c>
      <c r="W98" s="39">
        <f t="shared" si="17"/>
        <v>8.0403575143198331</v>
      </c>
      <c r="X98" s="39">
        <f>SUM(T98:W98)</f>
        <v>23.123413716705883</v>
      </c>
    </row>
    <row r="99" spans="1:24" ht="15" x14ac:dyDescent="0.25">
      <c r="A99" s="16">
        <v>4</v>
      </c>
      <c r="B99" s="515" t="s">
        <v>348</v>
      </c>
      <c r="C99" s="516"/>
      <c r="D99" s="5" t="s">
        <v>243</v>
      </c>
      <c r="E99" s="26" t="e">
        <f>#REF!</f>
        <v>#REF!</v>
      </c>
      <c r="F99" s="26" t="e">
        <f>#REF!</f>
        <v>#REF!</v>
      </c>
      <c r="G99" s="26" t="e">
        <f>#REF!</f>
        <v>#REF!</v>
      </c>
      <c r="H99" s="26" t="e">
        <f>#REF!</f>
        <v>#REF!</v>
      </c>
      <c r="I99" s="26" t="e">
        <f>#REF!</f>
        <v>#REF!</v>
      </c>
      <c r="J99" s="26" t="e">
        <f>#REF!</f>
        <v>#REF!</v>
      </c>
      <c r="K99" s="26" t="e">
        <f>#REF!</f>
        <v>#REF!</v>
      </c>
      <c r="L99" s="5">
        <v>4</v>
      </c>
      <c r="M99" s="8" t="s">
        <v>348</v>
      </c>
      <c r="N99" s="53" t="e">
        <f>SUM(N100:N104)</f>
        <v>#REF!</v>
      </c>
      <c r="O99" s="39" t="e">
        <f>SUM(O100:O104)</f>
        <v>#REF!</v>
      </c>
      <c r="P99" s="39" t="e">
        <f>SUM(P100:P104)</f>
        <v>#REF!</v>
      </c>
      <c r="Q99" s="39" t="e">
        <f>SUM(Q100:Q104)</f>
        <v>#REF!</v>
      </c>
      <c r="R99" s="39" t="e">
        <f>SUM(R100:R104)</f>
        <v>#REF!</v>
      </c>
      <c r="S99" s="4"/>
      <c r="T99" s="39"/>
      <c r="U99" s="39"/>
      <c r="V99" s="39"/>
      <c r="W99" s="39"/>
      <c r="X99" s="39"/>
    </row>
    <row r="100" spans="1:24" ht="28.5" hidden="1" customHeight="1" x14ac:dyDescent="0.25">
      <c r="A100" s="16"/>
      <c r="B100" s="32"/>
      <c r="C100" s="33"/>
      <c r="D100" s="5"/>
      <c r="E100" s="26"/>
      <c r="F100" s="26"/>
      <c r="G100" s="26"/>
      <c r="H100" s="26"/>
      <c r="I100" s="26"/>
      <c r="J100" s="26"/>
      <c r="K100" s="26"/>
      <c r="L100" s="515" t="s">
        <v>13</v>
      </c>
      <c r="M100" s="516"/>
      <c r="N100" s="39">
        <f>'расх на персонал'!AO27+'расх на персонал'!AO28+'расх на персонал'!AO29+'расх на персонал'!AO30+'расх на персонал'!AO32+'расх на персонал'!AO33+'расх на персонал'!AO34+'расх на персонал'!AO35+'расх на персонал'!AO41+'расх на персонал'!AO42+'расх на персонал'!AO51+'расх на персонал'!AO52+'расх на персонал'!AO53+'расх на персонал'!AO54+'расх на персонал'!AO57+'расх на персонал'!AO58+'расх на персонал'!AO59+'расх на персонал'!AO60+'расх на персонал'!AO61+'расх на персонал'!AO62+'расх на персонал'!AO63+'расх на персонал'!AO64+'расх на персонал'!AO65+'расх на персонал'!AO66+'расх на персонал'!AO67+'расх на персонал'!AO68+'расх на персонал'!AO69+'расх на персонал'!AO70</f>
        <v>777.27619060000006</v>
      </c>
      <c r="O100" s="39">
        <f>'расх на персонал'!AP27+'расх на персонал'!AP28+'расх на персонал'!AP29+'расх на персонал'!AP30+'расх на персонал'!AP32+'расх на персонал'!AP33+'расх на персонал'!AP34+'расх на персонал'!AP35+'расх на персонал'!AP41+'расх на персонал'!AP42+'расх на персонал'!AP51+'расх на персонал'!AP52+'расх на персонал'!AP53+'расх на персонал'!AP54+'расх на персонал'!AP57+'расх на персонал'!AP58+'расх на персонал'!AP59+'расх на персонал'!AP60+'расх на персонал'!AP61+'расх на персонал'!AP62+'расх на персонал'!AP63+'расх на персонал'!AP64+'расх на персонал'!AP65+'расх на персонал'!AP66+'расх на персонал'!AP67+'расх на персонал'!AP68+'расх на персонал'!AP69+'расх на персонал'!AP70</f>
        <v>5409.8335050000051</v>
      </c>
      <c r="P100" s="39">
        <f>'расх на персонал'!AQ27+'расх на персонал'!AQ28+'расх на персонал'!AQ29+'расх на персонал'!AQ30+'расх на персонал'!AQ32+'расх на персонал'!AQ33+'расх на персонал'!AQ34+'расх на персонал'!AQ35+'расх на персонал'!AQ41+'расх на персонал'!AQ42+'расх на персонал'!AQ51+'расх на персонал'!AQ52+'расх на персонал'!AQ53+'расх на персонал'!AQ54+'расх на персонал'!AQ57+'расх на персонал'!AQ58+'расх на персонал'!AQ59+'расх на персонал'!AQ60+'расх на персонал'!AQ61+'расх на персонал'!AQ62+'расх на персонал'!AQ63+'расх на персонал'!AQ64+'расх на персонал'!AQ65+'расх на персонал'!AQ66+'расх на персонал'!AQ67+'расх на персонал'!AQ68+'расх на персонал'!AQ69+'расх на персонал'!AQ70</f>
        <v>10247.934447141075</v>
      </c>
      <c r="Q100" s="39">
        <f>'расх на персонал'!AR27+'расх на персонал'!AR28+'расх на персонал'!AR29+'расх на персонал'!AR30+'расх на персонал'!AR32+'расх на персонал'!AR33+'расх на персонал'!AR34+'расх на персонал'!AR35+'расх на персонал'!AR41+'расх на персонал'!AR42+'расх на персонал'!AR51+'расх на персонал'!AR52+'расх на персонал'!AR53+'расх на персонал'!AR54+'расх на персонал'!AR57+'расх на персонал'!AR58+'расх на персонал'!AR59+'расх на персонал'!AR60+'расх на персонал'!AR61+'расх на персонал'!AR62+'расх на персонал'!AR63+'расх на персонал'!AR64+'расх на персонал'!AR65+'расх на персонал'!AR66+'расх на персонал'!AR67+'расх на персонал'!AR68+'расх на персонал'!AR69+'расх на персонал'!AR70</f>
        <v>166.93904499999999</v>
      </c>
      <c r="R100" s="39">
        <f>SUM(N100:Q100)</f>
        <v>16601.98318774108</v>
      </c>
      <c r="S100" s="4"/>
      <c r="T100" s="39"/>
      <c r="U100" s="39"/>
      <c r="V100" s="39"/>
      <c r="W100" s="39"/>
      <c r="X100" s="39"/>
    </row>
    <row r="101" spans="1:24" ht="28.5" hidden="1" customHeight="1" x14ac:dyDescent="0.25">
      <c r="A101" s="16"/>
      <c r="B101" s="32"/>
      <c r="C101" s="33"/>
      <c r="D101" s="5"/>
      <c r="E101" s="26"/>
      <c r="F101" s="26"/>
      <c r="G101" s="26"/>
      <c r="H101" s="26"/>
      <c r="I101" s="26"/>
      <c r="J101" s="26"/>
      <c r="K101" s="26"/>
      <c r="L101" s="515" t="s">
        <v>256</v>
      </c>
      <c r="M101" s="516"/>
      <c r="N101" s="39">
        <v>0</v>
      </c>
      <c r="O101" s="39">
        <v>0</v>
      </c>
      <c r="P101" s="39">
        <v>0</v>
      </c>
      <c r="Q101" s="39">
        <v>0</v>
      </c>
      <c r="R101" s="39">
        <f>SUM(N101:Q101)</f>
        <v>0</v>
      </c>
      <c r="S101" s="4"/>
      <c r="T101" s="39"/>
      <c r="U101" s="39"/>
      <c r="V101" s="39"/>
      <c r="W101" s="39"/>
      <c r="X101" s="39"/>
    </row>
    <row r="102" spans="1:24" ht="28.5" hidden="1" customHeight="1" x14ac:dyDescent="0.25">
      <c r="A102" s="16"/>
      <c r="B102" s="32"/>
      <c r="C102" s="33"/>
      <c r="D102" s="5"/>
      <c r="E102" s="26"/>
      <c r="F102" s="26"/>
      <c r="G102" s="26"/>
      <c r="H102" s="26"/>
      <c r="I102" s="26"/>
      <c r="J102" s="26"/>
      <c r="K102" s="26"/>
      <c r="L102" s="515" t="s">
        <v>59</v>
      </c>
      <c r="M102" s="516"/>
      <c r="N102" s="39">
        <f>'расх на персонал'!AO103</f>
        <v>2379.8989175000002</v>
      </c>
      <c r="O102" s="39">
        <f>'расх на персонал'!AP103</f>
        <v>2379.8989175000002</v>
      </c>
      <c r="P102" s="39">
        <f>'расх на персонал'!AQ103</f>
        <v>2379.8989175000002</v>
      </c>
      <c r="Q102" s="39">
        <f>'расх на персонал'!AR103</f>
        <v>2379.8989175000002</v>
      </c>
      <c r="R102" s="39">
        <f>SUM(N102:Q102)</f>
        <v>9519.5956700000006</v>
      </c>
      <c r="S102" s="4"/>
      <c r="T102" s="39"/>
      <c r="U102" s="39"/>
      <c r="V102" s="39"/>
      <c r="W102" s="39"/>
      <c r="X102" s="39"/>
    </row>
    <row r="103" spans="1:24" ht="24" hidden="1" customHeight="1" x14ac:dyDescent="0.25">
      <c r="A103" s="16"/>
      <c r="B103" s="32"/>
      <c r="C103" s="33"/>
      <c r="D103" s="5"/>
      <c r="E103" s="26"/>
      <c r="F103" s="26"/>
      <c r="G103" s="26"/>
      <c r="H103" s="26"/>
      <c r="I103" s="26"/>
      <c r="J103" s="26"/>
      <c r="K103" s="26"/>
      <c r="L103" s="515" t="s">
        <v>336</v>
      </c>
      <c r="M103" s="516"/>
      <c r="N103" s="39" t="e">
        <f>E99-N100-N101-N102-N104</f>
        <v>#REF!</v>
      </c>
      <c r="O103" s="39" t="e">
        <f>F99-O100-O101-O102-O104</f>
        <v>#REF!</v>
      </c>
      <c r="P103" s="39" t="e">
        <f>G99-P100-P101-P102-P104</f>
        <v>#REF!</v>
      </c>
      <c r="Q103" s="39" t="e">
        <f>H99-Q100-Q101-Q102-Q104</f>
        <v>#REF!</v>
      </c>
      <c r="R103" s="39" t="e">
        <f>SUM(N103:Q103)</f>
        <v>#REF!</v>
      </c>
      <c r="S103" s="4"/>
      <c r="T103" s="39"/>
      <c r="U103" s="39"/>
      <c r="V103" s="39"/>
      <c r="W103" s="39"/>
      <c r="X103" s="39"/>
    </row>
    <row r="104" spans="1:24" ht="24" hidden="1" customHeight="1" x14ac:dyDescent="0.25">
      <c r="A104" s="16"/>
      <c r="B104" s="32"/>
      <c r="C104" s="33"/>
      <c r="D104" s="5"/>
      <c r="E104" s="26"/>
      <c r="F104" s="26"/>
      <c r="G104" s="26"/>
      <c r="H104" s="26"/>
      <c r="I104" s="26"/>
      <c r="J104" s="26"/>
      <c r="K104" s="26"/>
      <c r="L104" s="515" t="s">
        <v>298</v>
      </c>
      <c r="M104" s="516"/>
      <c r="N104" s="39">
        <f>'расх на персонал'!AO114</f>
        <v>3165.6040254999998</v>
      </c>
      <c r="O104" s="39">
        <f>'расх на персонал'!AP114</f>
        <v>3165.6040254999998</v>
      </c>
      <c r="P104" s="39">
        <f>'расх на персонал'!AQ114</f>
        <v>3255.5302255000001</v>
      </c>
      <c r="Q104" s="39">
        <f>'расх на персонал'!AR114</f>
        <v>3165.6040254999998</v>
      </c>
      <c r="R104" s="39">
        <f>SUM(N104:Q104)</f>
        <v>12752.342302000001</v>
      </c>
      <c r="S104" s="4"/>
      <c r="T104" s="39"/>
      <c r="U104" s="39"/>
      <c r="V104" s="39"/>
      <c r="W104" s="39"/>
      <c r="X104" s="39"/>
    </row>
    <row r="105" spans="1:24" ht="12.75" x14ac:dyDescent="0.25">
      <c r="A105" s="16">
        <v>5</v>
      </c>
      <c r="B105" s="515" t="s">
        <v>349</v>
      </c>
      <c r="C105" s="516"/>
      <c r="D105" s="5" t="s">
        <v>243</v>
      </c>
      <c r="E105" s="26" t="e">
        <f>#REF!</f>
        <v>#REF!</v>
      </c>
      <c r="F105" s="26" t="e">
        <f>#REF!</f>
        <v>#REF!</v>
      </c>
      <c r="G105" s="26" t="e">
        <f>#REF!</f>
        <v>#REF!</v>
      </c>
      <c r="H105" s="26" t="e">
        <f>#REF!</f>
        <v>#REF!</v>
      </c>
      <c r="I105" s="26" t="e">
        <f>#REF!</f>
        <v>#REF!</v>
      </c>
      <c r="J105" s="26" t="e">
        <f>#REF!</f>
        <v>#REF!</v>
      </c>
      <c r="K105" s="26" t="e">
        <f>#REF!</f>
        <v>#REF!</v>
      </c>
      <c r="L105" s="9">
        <v>5</v>
      </c>
      <c r="M105" s="22" t="s">
        <v>349</v>
      </c>
      <c r="N105" s="39" t="e">
        <f>SUM(N106:N110)</f>
        <v>#REF!</v>
      </c>
      <c r="O105" s="39" t="e">
        <f>SUM(O106:O110)</f>
        <v>#REF!</v>
      </c>
      <c r="P105" s="39" t="e">
        <f>SUM(P106:P110)</f>
        <v>#REF!</v>
      </c>
      <c r="Q105" s="39" t="e">
        <f>SUM(Q106:Q110)</f>
        <v>#REF!</v>
      </c>
      <c r="R105" s="39" t="e">
        <f>SUM(R106:R110)</f>
        <v>#REF!</v>
      </c>
      <c r="S105" s="4"/>
      <c r="T105" s="39"/>
      <c r="U105" s="39"/>
      <c r="V105" s="39"/>
      <c r="W105" s="39"/>
      <c r="X105" s="39"/>
    </row>
    <row r="106" spans="1:24" ht="24.75" hidden="1" customHeight="1" x14ac:dyDescent="0.25">
      <c r="A106" s="16"/>
      <c r="B106" s="32"/>
      <c r="C106" s="33"/>
      <c r="D106" s="5"/>
      <c r="E106" s="26"/>
      <c r="F106" s="26"/>
      <c r="G106" s="26"/>
      <c r="H106" s="26"/>
      <c r="I106" s="26"/>
      <c r="J106" s="26"/>
      <c r="K106" s="26"/>
      <c r="L106" s="515" t="s">
        <v>13</v>
      </c>
      <c r="M106" s="516"/>
      <c r="N106" s="39">
        <f>N100*0.309</f>
        <v>240.17834289540002</v>
      </c>
      <c r="O106" s="39">
        <f>O100*0.309</f>
        <v>1671.6385530450016</v>
      </c>
      <c r="P106" s="39">
        <f>P100*0.309</f>
        <v>3166.611744166592</v>
      </c>
      <c r="Q106" s="39">
        <f>Q100*0.309</f>
        <v>51.584164904999994</v>
      </c>
      <c r="R106" s="39">
        <f t="shared" ref="R106:R118" si="18">SUM(N106:Q106)</f>
        <v>5130.0128050119929</v>
      </c>
      <c r="S106" s="4"/>
      <c r="T106" s="39"/>
      <c r="U106" s="39"/>
      <c r="V106" s="39"/>
      <c r="W106" s="39"/>
      <c r="X106" s="39"/>
    </row>
    <row r="107" spans="1:24" ht="24.75" hidden="1" customHeight="1" x14ac:dyDescent="0.25">
      <c r="A107" s="16"/>
      <c r="B107" s="32"/>
      <c r="C107" s="33"/>
      <c r="D107" s="5"/>
      <c r="E107" s="26"/>
      <c r="F107" s="26"/>
      <c r="G107" s="26"/>
      <c r="H107" s="26"/>
      <c r="I107" s="26"/>
      <c r="J107" s="26"/>
      <c r="K107" s="26"/>
      <c r="L107" s="515" t="s">
        <v>256</v>
      </c>
      <c r="M107" s="516"/>
      <c r="N107" s="39">
        <v>0</v>
      </c>
      <c r="O107" s="39">
        <v>0</v>
      </c>
      <c r="P107" s="39">
        <v>0</v>
      </c>
      <c r="Q107" s="39">
        <v>0</v>
      </c>
      <c r="R107" s="39">
        <f t="shared" si="18"/>
        <v>0</v>
      </c>
      <c r="S107" s="4"/>
      <c r="T107" s="39"/>
      <c r="U107" s="39"/>
      <c r="V107" s="39"/>
      <c r="W107" s="39"/>
      <c r="X107" s="39"/>
    </row>
    <row r="108" spans="1:24" ht="24.75" hidden="1" customHeight="1" x14ac:dyDescent="0.25">
      <c r="A108" s="16"/>
      <c r="B108" s="32"/>
      <c r="C108" s="33"/>
      <c r="D108" s="5"/>
      <c r="E108" s="26"/>
      <c r="F108" s="26"/>
      <c r="G108" s="26"/>
      <c r="H108" s="26"/>
      <c r="I108" s="26"/>
      <c r="J108" s="26"/>
      <c r="K108" s="26"/>
      <c r="L108" s="515" t="s">
        <v>59</v>
      </c>
      <c r="M108" s="516"/>
      <c r="N108" s="39">
        <f>'расх на персонал'!AT103</f>
        <v>735.38876550750001</v>
      </c>
      <c r="O108" s="39">
        <f>'расх на персонал'!AU103</f>
        <v>735.38876550750001</v>
      </c>
      <c r="P108" s="39">
        <f>'расх на персонал'!AV103</f>
        <v>735.38876550750001</v>
      </c>
      <c r="Q108" s="39">
        <f>'расх на персонал'!AW103</f>
        <v>735.38876550750001</v>
      </c>
      <c r="R108" s="39">
        <f t="shared" si="18"/>
        <v>2941.55506203</v>
      </c>
      <c r="S108" s="4"/>
      <c r="T108" s="39"/>
      <c r="U108" s="39"/>
      <c r="V108" s="39"/>
      <c r="W108" s="39"/>
      <c r="X108" s="39"/>
    </row>
    <row r="109" spans="1:24" ht="24.75" hidden="1" customHeight="1" x14ac:dyDescent="0.25">
      <c r="A109" s="16"/>
      <c r="B109" s="32"/>
      <c r="C109" s="33"/>
      <c r="D109" s="5"/>
      <c r="E109" s="26"/>
      <c r="F109" s="26"/>
      <c r="G109" s="26"/>
      <c r="H109" s="26"/>
      <c r="I109" s="26"/>
      <c r="J109" s="26"/>
      <c r="K109" s="26"/>
      <c r="L109" s="515" t="s">
        <v>336</v>
      </c>
      <c r="M109" s="516"/>
      <c r="N109" s="39" t="e">
        <f>E105-N106-N107-N108-N110</f>
        <v>#REF!</v>
      </c>
      <c r="O109" s="39" t="e">
        <f>F105-O106-O107-O108-O110</f>
        <v>#REF!</v>
      </c>
      <c r="P109" s="39" t="e">
        <f>G105-P106-P107-P108-P110</f>
        <v>#REF!</v>
      </c>
      <c r="Q109" s="39" t="e">
        <f>H105-Q106-Q107-Q108-Q110</f>
        <v>#REF!</v>
      </c>
      <c r="R109" s="39" t="e">
        <f t="shared" si="18"/>
        <v>#REF!</v>
      </c>
      <c r="S109" s="4"/>
      <c r="T109" s="39"/>
      <c r="U109" s="39"/>
      <c r="V109" s="39"/>
      <c r="W109" s="39"/>
      <c r="X109" s="39"/>
    </row>
    <row r="110" spans="1:24" ht="24.75" hidden="1" customHeight="1" x14ac:dyDescent="0.25">
      <c r="A110" s="16"/>
      <c r="B110" s="32"/>
      <c r="C110" s="33"/>
      <c r="D110" s="5"/>
      <c r="E110" s="26"/>
      <c r="F110" s="26"/>
      <c r="G110" s="26"/>
      <c r="H110" s="26"/>
      <c r="I110" s="26"/>
      <c r="J110" s="26"/>
      <c r="K110" s="26"/>
      <c r="L110" s="515" t="s">
        <v>298</v>
      </c>
      <c r="M110" s="516"/>
      <c r="N110" s="39">
        <f>'расх на персонал'!AT25</f>
        <v>978.0047838795</v>
      </c>
      <c r="O110" s="39">
        <f>'расх на персонал'!AU25</f>
        <v>978.0047838795</v>
      </c>
      <c r="P110" s="39">
        <f>'расх на персонал'!AV25</f>
        <v>1005.7919796794999</v>
      </c>
      <c r="Q110" s="39">
        <f>'расх на персонал'!AW25</f>
        <v>978.0047838795</v>
      </c>
      <c r="R110" s="39">
        <f t="shared" si="18"/>
        <v>3939.806331318</v>
      </c>
      <c r="S110" s="4"/>
      <c r="T110" s="39"/>
      <c r="U110" s="39"/>
      <c r="V110" s="39"/>
      <c r="W110" s="39"/>
      <c r="X110" s="39"/>
    </row>
    <row r="111" spans="1:24" ht="15" x14ac:dyDescent="0.25">
      <c r="A111" s="5">
        <v>6</v>
      </c>
      <c r="B111" s="515" t="s">
        <v>350</v>
      </c>
      <c r="C111" s="516"/>
      <c r="D111" s="5" t="s">
        <v>243</v>
      </c>
      <c r="E111" s="26">
        <f>([6]TDSheet!$O$687+[6]TDSheet!$P$687+[6]TDSheet!$Q$687)/1000</f>
        <v>1256.75154</v>
      </c>
      <c r="F111" s="26">
        <f>([6]TDSheet!$R$687+[6]TDSheet!$S$687+[6]TDSheet!$T$687)/1000</f>
        <v>1256.75154</v>
      </c>
      <c r="G111" s="26">
        <f>([6]TDSheet!$U$687+[6]TDSheet!$V$687+[6]TDSheet!$W$687)/1000</f>
        <v>1256.75154</v>
      </c>
      <c r="H111" s="26">
        <f>([6]TDSheet!$X$687+[6]TDSheet!$Y$687+[6]TDSheet!$Z$687)/1000</f>
        <v>1256.75154</v>
      </c>
      <c r="I111" s="26">
        <f>SUM(E111:H111)-0.01</f>
        <v>5026.9961599999997</v>
      </c>
      <c r="J111" s="26">
        <f>I111</f>
        <v>5026.9961599999997</v>
      </c>
      <c r="K111" s="26">
        <f>J111</f>
        <v>5026.9961599999997</v>
      </c>
      <c r="L111" s="5">
        <v>6</v>
      </c>
      <c r="M111" s="8" t="s">
        <v>350</v>
      </c>
      <c r="N111" s="53">
        <f>N112+N113+N114+N117+N118</f>
        <v>1256.7458799999999</v>
      </c>
      <c r="O111" s="39">
        <f>O112+O113+O114+O117+O118</f>
        <v>1256.7458799999999</v>
      </c>
      <c r="P111" s="39">
        <f>P112+P113+P114+P117+P118</f>
        <v>1256.7458799999999</v>
      </c>
      <c r="Q111" s="39">
        <f>Q112+Q113+Q114+Q117+Q118</f>
        <v>1256.7458799999999</v>
      </c>
      <c r="R111" s="39">
        <f t="shared" si="18"/>
        <v>5026.9835199999998</v>
      </c>
      <c r="S111" s="4"/>
      <c r="T111" s="39"/>
      <c r="U111" s="39"/>
      <c r="V111" s="39"/>
      <c r="W111" s="39"/>
      <c r="X111" s="39"/>
    </row>
    <row r="112" spans="1:24" ht="18" hidden="1" customHeight="1" x14ac:dyDescent="0.25">
      <c r="A112" s="16"/>
      <c r="B112" s="32"/>
      <c r="C112" s="33"/>
      <c r="D112" s="5"/>
      <c r="E112" s="26"/>
      <c r="F112" s="26"/>
      <c r="G112" s="26"/>
      <c r="H112" s="26"/>
      <c r="I112" s="26"/>
      <c r="J112" s="26"/>
      <c r="K112" s="26"/>
      <c r="L112" s="515" t="s">
        <v>13</v>
      </c>
      <c r="M112" s="516"/>
      <c r="N112" s="39">
        <v>89.053020000000004</v>
      </c>
      <c r="O112" s="39">
        <v>89.053020000000004</v>
      </c>
      <c r="P112" s="39">
        <v>89.053020000000004</v>
      </c>
      <c r="Q112" s="39">
        <v>89.053020000000004</v>
      </c>
      <c r="R112" s="39">
        <f t="shared" si="18"/>
        <v>356.21208000000001</v>
      </c>
      <c r="S112" s="4"/>
      <c r="T112" s="39"/>
      <c r="U112" s="39"/>
      <c r="V112" s="39"/>
      <c r="W112" s="39"/>
      <c r="X112" s="39"/>
    </row>
    <row r="113" spans="1:24" ht="18" hidden="1" customHeight="1" x14ac:dyDescent="0.25">
      <c r="A113" s="16"/>
      <c r="B113" s="32"/>
      <c r="C113" s="33"/>
      <c r="D113" s="5"/>
      <c r="E113" s="26"/>
      <c r="F113" s="26"/>
      <c r="G113" s="26"/>
      <c r="H113" s="26"/>
      <c r="I113" s="26"/>
      <c r="J113" s="26"/>
      <c r="K113" s="26"/>
      <c r="L113" s="515" t="s">
        <v>256</v>
      </c>
      <c r="M113" s="516"/>
      <c r="N113" s="39">
        <v>9.8342100000000006</v>
      </c>
      <c r="O113" s="39">
        <v>9.8342100000000006</v>
      </c>
      <c r="P113" s="39">
        <v>9.8342100000000006</v>
      </c>
      <c r="Q113" s="39">
        <v>9.8342100000000006</v>
      </c>
      <c r="R113" s="39">
        <f t="shared" si="18"/>
        <v>39.336840000000002</v>
      </c>
      <c r="S113" s="4"/>
      <c r="T113" s="39"/>
      <c r="U113" s="39"/>
      <c r="V113" s="39"/>
      <c r="W113" s="39"/>
      <c r="X113" s="39"/>
    </row>
    <row r="114" spans="1:24" ht="18" hidden="1" customHeight="1" x14ac:dyDescent="0.25">
      <c r="A114" s="16"/>
      <c r="B114" s="32"/>
      <c r="C114" s="33"/>
      <c r="D114" s="5"/>
      <c r="E114" s="26"/>
      <c r="F114" s="26"/>
      <c r="G114" s="26"/>
      <c r="H114" s="26"/>
      <c r="I114" s="26"/>
      <c r="J114" s="26"/>
      <c r="K114" s="26"/>
      <c r="L114" s="515" t="s">
        <v>59</v>
      </c>
      <c r="M114" s="516"/>
      <c r="N114" s="39">
        <f>SUM(N115:N116)</f>
        <v>499.70316000000003</v>
      </c>
      <c r="O114" s="39">
        <f>SUM(O115:O116)</f>
        <v>499.70316000000003</v>
      </c>
      <c r="P114" s="39">
        <f>SUM(P115:P116)</f>
        <v>499.70316000000003</v>
      </c>
      <c r="Q114" s="39">
        <f>SUM(Q115:Q116)</f>
        <v>499.70316000000003</v>
      </c>
      <c r="R114" s="39">
        <f t="shared" si="18"/>
        <v>1998.8126400000001</v>
      </c>
      <c r="S114" s="4"/>
      <c r="T114" s="39"/>
      <c r="U114" s="39"/>
      <c r="V114" s="39"/>
      <c r="W114" s="39"/>
      <c r="X114" s="39"/>
    </row>
    <row r="115" spans="1:24" ht="18" hidden="1" customHeight="1" x14ac:dyDescent="0.25">
      <c r="A115" s="16"/>
      <c r="B115" s="32"/>
      <c r="C115" s="33"/>
      <c r="D115" s="5"/>
      <c r="E115" s="26"/>
      <c r="F115" s="26"/>
      <c r="G115" s="26"/>
      <c r="H115" s="26"/>
      <c r="I115" s="26"/>
      <c r="J115" s="26"/>
      <c r="K115" s="26"/>
      <c r="L115" s="26"/>
      <c r="M115" s="22" t="s">
        <v>296</v>
      </c>
      <c r="N115" s="39">
        <f>361.46377+128.28819</f>
        <v>489.75196</v>
      </c>
      <c r="O115" s="39">
        <f>361.46377+128.28819</f>
        <v>489.75196</v>
      </c>
      <c r="P115" s="39">
        <f>361.46377+128.28819</f>
        <v>489.75196</v>
      </c>
      <c r="Q115" s="39">
        <f>361.46377+128.28819</f>
        <v>489.75196</v>
      </c>
      <c r="R115" s="39">
        <f t="shared" si="18"/>
        <v>1959.00784</v>
      </c>
      <c r="S115" s="4"/>
      <c r="T115" s="39"/>
      <c r="U115" s="39"/>
      <c r="V115" s="39"/>
      <c r="W115" s="39"/>
      <c r="X115" s="39"/>
    </row>
    <row r="116" spans="1:24" ht="18" hidden="1" customHeight="1" x14ac:dyDescent="0.25">
      <c r="A116" s="16"/>
      <c r="B116" s="32"/>
      <c r="C116" s="33"/>
      <c r="D116" s="5"/>
      <c r="E116" s="26"/>
      <c r="F116" s="26"/>
      <c r="G116" s="26"/>
      <c r="H116" s="26"/>
      <c r="I116" s="26"/>
      <c r="J116" s="26"/>
      <c r="K116" s="26"/>
      <c r="L116" s="26"/>
      <c r="M116" s="22" t="s">
        <v>297</v>
      </c>
      <c r="N116" s="39">
        <v>9.9512</v>
      </c>
      <c r="O116" s="39">
        <v>9.9512</v>
      </c>
      <c r="P116" s="39">
        <v>9.9512</v>
      </c>
      <c r="Q116" s="39">
        <v>9.9512</v>
      </c>
      <c r="R116" s="39">
        <f t="shared" si="18"/>
        <v>39.8048</v>
      </c>
      <c r="S116" s="4"/>
      <c r="T116" s="39"/>
      <c r="U116" s="39"/>
      <c r="V116" s="39"/>
      <c r="W116" s="39"/>
      <c r="X116" s="39"/>
    </row>
    <row r="117" spans="1:24" ht="18" hidden="1" customHeight="1" x14ac:dyDescent="0.25">
      <c r="A117" s="16"/>
      <c r="B117" s="32"/>
      <c r="C117" s="33"/>
      <c r="D117" s="5"/>
      <c r="E117" s="26"/>
      <c r="F117" s="26"/>
      <c r="G117" s="26"/>
      <c r="H117" s="26"/>
      <c r="I117" s="26"/>
      <c r="J117" s="26"/>
      <c r="K117" s="26"/>
      <c r="L117" s="515" t="s">
        <v>336</v>
      </c>
      <c r="M117" s="516"/>
      <c r="N117" s="39">
        <f>128.01549+353.08</f>
        <v>481.09548999999998</v>
      </c>
      <c r="O117" s="39">
        <f>128.01549+353.08</f>
        <v>481.09548999999998</v>
      </c>
      <c r="P117" s="39">
        <f>128.01549+353.08</f>
        <v>481.09548999999998</v>
      </c>
      <c r="Q117" s="39">
        <f>128.01549+353.08</f>
        <v>481.09548999999998</v>
      </c>
      <c r="R117" s="39">
        <f t="shared" si="18"/>
        <v>1924.3819599999999</v>
      </c>
      <c r="S117" s="4"/>
      <c r="T117" s="39"/>
      <c r="U117" s="39"/>
      <c r="V117" s="39"/>
      <c r="W117" s="39"/>
      <c r="X117" s="39"/>
    </row>
    <row r="118" spans="1:24" ht="18" hidden="1" customHeight="1" x14ac:dyDescent="0.25">
      <c r="A118" s="16"/>
      <c r="B118" s="32"/>
      <c r="C118" s="33"/>
      <c r="D118" s="5"/>
      <c r="E118" s="26"/>
      <c r="F118" s="26"/>
      <c r="G118" s="26"/>
      <c r="H118" s="26"/>
      <c r="I118" s="26"/>
      <c r="J118" s="26"/>
      <c r="K118" s="26"/>
      <c r="L118" s="515" t="s">
        <v>298</v>
      </c>
      <c r="M118" s="516"/>
      <c r="N118" s="39">
        <v>177.06</v>
      </c>
      <c r="O118" s="39">
        <v>177.06</v>
      </c>
      <c r="P118" s="39">
        <v>177.06</v>
      </c>
      <c r="Q118" s="39">
        <v>177.06</v>
      </c>
      <c r="R118" s="39">
        <f t="shared" si="18"/>
        <v>708.24</v>
      </c>
      <c r="S118" s="4"/>
      <c r="T118" s="39"/>
      <c r="U118" s="39"/>
      <c r="V118" s="39"/>
      <c r="W118" s="39"/>
      <c r="X118" s="39"/>
    </row>
    <row r="119" spans="1:24" ht="12.75" x14ac:dyDescent="0.25">
      <c r="A119" s="511">
        <v>7</v>
      </c>
      <c r="B119" s="515" t="s">
        <v>351</v>
      </c>
      <c r="C119" s="516"/>
      <c r="D119" s="5" t="s">
        <v>243</v>
      </c>
      <c r="E119" s="26">
        <f>SUM(E120:E123)</f>
        <v>0</v>
      </c>
      <c r="F119" s="26">
        <f>SUM(F120:F123)</f>
        <v>3000</v>
      </c>
      <c r="G119" s="26">
        <f>SUM(G120:G123)</f>
        <v>0</v>
      </c>
      <c r="H119" s="26">
        <f>SUM(H120:H123)</f>
        <v>0</v>
      </c>
      <c r="I119" s="26">
        <f>SUM(E119:H119)</f>
        <v>3000</v>
      </c>
      <c r="J119" s="26">
        <f>SUM(J120:J123)</f>
        <v>3000</v>
      </c>
      <c r="K119" s="26">
        <f>SUM(K120:K123)</f>
        <v>3000</v>
      </c>
      <c r="L119" s="26"/>
      <c r="M119" s="22"/>
      <c r="N119" s="39"/>
      <c r="O119" s="39"/>
      <c r="P119" s="39"/>
      <c r="Q119" s="39"/>
      <c r="R119" s="39"/>
      <c r="S119" s="4"/>
      <c r="T119" s="39"/>
      <c r="U119" s="39"/>
      <c r="V119" s="39"/>
      <c r="W119" s="39"/>
      <c r="X119" s="39"/>
    </row>
    <row r="120" spans="1:24" ht="12.75" x14ac:dyDescent="0.25">
      <c r="A120" s="512"/>
      <c r="B120" s="5" t="s">
        <v>352</v>
      </c>
      <c r="C120" s="8" t="s">
        <v>353</v>
      </c>
      <c r="D120" s="5" t="s">
        <v>243</v>
      </c>
      <c r="E120" s="26">
        <f>N120</f>
        <v>0</v>
      </c>
      <c r="F120" s="26">
        <f>O120</f>
        <v>3000</v>
      </c>
      <c r="G120" s="26">
        <f>P120</f>
        <v>0</v>
      </c>
      <c r="H120" s="26">
        <f>Q120</f>
        <v>0</v>
      </c>
      <c r="I120" s="26">
        <f>SUM(E120:H120)</f>
        <v>3000</v>
      </c>
      <c r="J120" s="26">
        <f>I120</f>
        <v>3000</v>
      </c>
      <c r="K120" s="26">
        <f>J120</f>
        <v>3000</v>
      </c>
      <c r="L120" s="5" t="s">
        <v>352</v>
      </c>
      <c r="M120" s="8" t="s">
        <v>353</v>
      </c>
      <c r="N120" s="39">
        <f>N121</f>
        <v>0</v>
      </c>
      <c r="O120" s="39">
        <f>O121</f>
        <v>3000</v>
      </c>
      <c r="P120" s="39">
        <f>P121</f>
        <v>0</v>
      </c>
      <c r="Q120" s="39">
        <f>Q121</f>
        <v>0</v>
      </c>
      <c r="R120" s="39">
        <f>SUM(N120:Q120)</f>
        <v>3000</v>
      </c>
      <c r="S120" s="4"/>
      <c r="T120" s="39"/>
      <c r="U120" s="39"/>
      <c r="V120" s="39"/>
      <c r="W120" s="39"/>
      <c r="X120" s="39"/>
    </row>
    <row r="121" spans="1:24" ht="18" hidden="1" customHeight="1" x14ac:dyDescent="0.25">
      <c r="A121" s="512"/>
      <c r="B121" s="21"/>
      <c r="C121" s="8"/>
      <c r="D121" s="5"/>
      <c r="E121" s="26"/>
      <c r="F121" s="26"/>
      <c r="G121" s="26"/>
      <c r="H121" s="26"/>
      <c r="I121" s="26"/>
      <c r="J121" s="26"/>
      <c r="K121" s="26"/>
      <c r="L121" s="515" t="s">
        <v>354</v>
      </c>
      <c r="M121" s="516"/>
      <c r="N121" s="39"/>
      <c r="O121" s="39">
        <v>3000</v>
      </c>
      <c r="P121" s="39"/>
      <c r="Q121" s="39"/>
      <c r="R121" s="39">
        <f>SUM(N121:Q121)</f>
        <v>3000</v>
      </c>
      <c r="S121" s="4"/>
      <c r="T121" s="39"/>
      <c r="U121" s="39">
        <f>O121*20%</f>
        <v>600</v>
      </c>
      <c r="V121" s="39"/>
      <c r="W121" s="39"/>
      <c r="X121" s="39">
        <f>SUM(T121:W121)</f>
        <v>600</v>
      </c>
    </row>
    <row r="122" spans="1:24" ht="18" hidden="1" customHeight="1" x14ac:dyDescent="0.25">
      <c r="A122" s="512"/>
      <c r="B122" s="21"/>
      <c r="C122" s="8"/>
      <c r="D122" s="5"/>
      <c r="E122" s="26"/>
      <c r="F122" s="26"/>
      <c r="G122" s="26"/>
      <c r="H122" s="26"/>
      <c r="I122" s="26"/>
      <c r="J122" s="26"/>
      <c r="K122" s="26"/>
      <c r="L122" s="26"/>
      <c r="M122" s="22"/>
      <c r="N122" s="39"/>
      <c r="O122" s="39"/>
      <c r="P122" s="39"/>
      <c r="Q122" s="39"/>
      <c r="R122" s="39"/>
      <c r="S122" s="4"/>
      <c r="T122" s="39"/>
      <c r="U122" s="39"/>
      <c r="V122" s="39"/>
      <c r="W122" s="39"/>
      <c r="X122" s="39"/>
    </row>
    <row r="123" spans="1:24" ht="12.75" x14ac:dyDescent="0.25">
      <c r="A123" s="513"/>
      <c r="B123" s="21" t="s">
        <v>355</v>
      </c>
      <c r="C123" s="8" t="s">
        <v>356</v>
      </c>
      <c r="D123" s="5" t="s">
        <v>243</v>
      </c>
      <c r="E123" s="26">
        <v>0</v>
      </c>
      <c r="F123" s="26">
        <v>0</v>
      </c>
      <c r="G123" s="26">
        <v>0</v>
      </c>
      <c r="H123" s="26">
        <v>0</v>
      </c>
      <c r="I123" s="26">
        <v>0</v>
      </c>
      <c r="J123" s="26">
        <v>0</v>
      </c>
      <c r="K123" s="26">
        <v>0</v>
      </c>
      <c r="L123" s="26"/>
      <c r="M123" s="22"/>
      <c r="N123" s="39"/>
      <c r="O123" s="39"/>
      <c r="P123" s="39"/>
      <c r="Q123" s="39"/>
      <c r="R123" s="39"/>
      <c r="S123" s="4"/>
      <c r="T123" s="39"/>
      <c r="U123" s="39"/>
      <c r="V123" s="39"/>
      <c r="W123" s="39"/>
      <c r="X123" s="39"/>
    </row>
    <row r="124" spans="1:24" ht="12.75" x14ac:dyDescent="0.25">
      <c r="A124" s="505">
        <v>8</v>
      </c>
      <c r="B124" s="515" t="s">
        <v>357</v>
      </c>
      <c r="C124" s="516"/>
      <c r="D124" s="5" t="s">
        <v>243</v>
      </c>
      <c r="E124" s="26">
        <f>SUM(E125:E129)</f>
        <v>1000</v>
      </c>
      <c r="F124" s="26">
        <f>SUM(F125:F129)</f>
        <v>3380.8191666666667</v>
      </c>
      <c r="G124" s="26">
        <f>SUM(G125:G129)</f>
        <v>2213.136</v>
      </c>
      <c r="H124" s="26">
        <f>SUM(H125:H129)</f>
        <v>0</v>
      </c>
      <c r="I124" s="26">
        <f>SUM(E124:H124)</f>
        <v>6593.9551666666666</v>
      </c>
      <c r="J124" s="26">
        <f>SUM(J125:J129)</f>
        <v>0</v>
      </c>
      <c r="K124" s="26">
        <f>SUM(K125:K129)</f>
        <v>0</v>
      </c>
      <c r="L124" s="26"/>
      <c r="M124" s="22"/>
      <c r="N124" s="39"/>
      <c r="O124" s="39"/>
      <c r="P124" s="39"/>
      <c r="Q124" s="39"/>
      <c r="R124" s="39"/>
      <c r="S124" s="4"/>
      <c r="T124" s="39"/>
      <c r="U124" s="39"/>
      <c r="V124" s="39"/>
      <c r="W124" s="39"/>
      <c r="X124" s="39"/>
    </row>
    <row r="125" spans="1:24" ht="12.75" x14ac:dyDescent="0.25">
      <c r="A125" s="512"/>
      <c r="B125" s="5" t="s">
        <v>358</v>
      </c>
      <c r="C125" s="8" t="s">
        <v>359</v>
      </c>
      <c r="D125" s="5" t="s">
        <v>243</v>
      </c>
      <c r="E125" s="26">
        <f>N125</f>
        <v>1000</v>
      </c>
      <c r="F125" s="26">
        <f>O125</f>
        <v>3380.8191666666667</v>
      </c>
      <c r="G125" s="26">
        <f>P125</f>
        <v>2213.136</v>
      </c>
      <c r="H125" s="26">
        <f>Q125</f>
        <v>0</v>
      </c>
      <c r="I125" s="26">
        <f>SUM(E125:H125)</f>
        <v>6593.9551666666666</v>
      </c>
      <c r="J125" s="26">
        <v>0</v>
      </c>
      <c r="K125" s="26">
        <v>0</v>
      </c>
      <c r="L125" s="5" t="s">
        <v>358</v>
      </c>
      <c r="M125" s="8" t="s">
        <v>359</v>
      </c>
      <c r="N125" s="39">
        <f>SUM(N126:N128)</f>
        <v>1000</v>
      </c>
      <c r="O125" s="39">
        <f>SUM(O126:O128)</f>
        <v>3380.8191666666667</v>
      </c>
      <c r="P125" s="39">
        <f>SUM(P126:P128)</f>
        <v>2213.136</v>
      </c>
      <c r="Q125" s="39">
        <f>SUM(Q126:Q128)</f>
        <v>0</v>
      </c>
      <c r="R125" s="39">
        <f>SUM(N125:Q125)</f>
        <v>6593.9551666666666</v>
      </c>
      <c r="S125" s="4"/>
      <c r="T125" s="39"/>
      <c r="U125" s="39"/>
      <c r="V125" s="39"/>
      <c r="W125" s="39"/>
      <c r="X125" s="39"/>
    </row>
    <row r="126" spans="1:24" ht="131.25" hidden="1" customHeight="1" x14ac:dyDescent="0.25">
      <c r="A126" s="512"/>
      <c r="B126" s="5"/>
      <c r="C126" s="8"/>
      <c r="D126" s="5"/>
      <c r="E126" s="26"/>
      <c r="F126" s="26"/>
      <c r="G126" s="26"/>
      <c r="H126" s="26"/>
      <c r="I126" s="26"/>
      <c r="J126" s="26"/>
      <c r="K126" s="26"/>
      <c r="L126" s="496" t="s">
        <v>360</v>
      </c>
      <c r="M126" s="498"/>
      <c r="N126" s="39"/>
      <c r="O126" s="39">
        <f>300+1600</f>
        <v>1900</v>
      </c>
      <c r="P126" s="39">
        <f>277.827+214.057+308.035+145.481+326.562+326.562+142.292+142.292+165.014+165.014</f>
        <v>2213.136</v>
      </c>
      <c r="Q126" s="39"/>
      <c r="R126" s="39">
        <f>SUM(N126:Q126)</f>
        <v>4113.1360000000004</v>
      </c>
      <c r="S126" s="4"/>
      <c r="T126" s="39"/>
      <c r="U126" s="39">
        <f>O126*20%</f>
        <v>380</v>
      </c>
      <c r="V126" s="39"/>
      <c r="W126" s="39"/>
      <c r="X126" s="39">
        <f>SUM(T126:W126)</f>
        <v>380</v>
      </c>
    </row>
    <row r="127" spans="1:24" ht="30" hidden="1" customHeight="1" x14ac:dyDescent="0.25">
      <c r="A127" s="512"/>
      <c r="B127" s="5"/>
      <c r="C127" s="8"/>
      <c r="D127" s="5"/>
      <c r="E127" s="26"/>
      <c r="F127" s="26"/>
      <c r="G127" s="26"/>
      <c r="H127" s="26"/>
      <c r="I127" s="26"/>
      <c r="J127" s="26"/>
      <c r="K127" s="26"/>
      <c r="L127" s="496" t="s">
        <v>361</v>
      </c>
      <c r="M127" s="498"/>
      <c r="N127" s="39"/>
      <c r="O127" s="39">
        <f>691.856/1.2</f>
        <v>576.54666666666674</v>
      </c>
      <c r="P127" s="39"/>
      <c r="Q127" s="39"/>
      <c r="R127" s="39">
        <f>SUM(N127:Q127)</f>
        <v>576.54666666666674</v>
      </c>
      <c r="S127" s="4"/>
      <c r="T127" s="39"/>
      <c r="U127" s="39">
        <f>O127*20%</f>
        <v>115.30933333333336</v>
      </c>
      <c r="V127" s="39"/>
      <c r="W127" s="39"/>
      <c r="X127" s="39">
        <f>SUM(T127:W127)</f>
        <v>115.30933333333336</v>
      </c>
    </row>
    <row r="128" spans="1:24" ht="30" hidden="1" customHeight="1" x14ac:dyDescent="0.25">
      <c r="A128" s="512"/>
      <c r="B128" s="5"/>
      <c r="C128" s="8"/>
      <c r="D128" s="5"/>
      <c r="E128" s="26"/>
      <c r="F128" s="26"/>
      <c r="G128" s="26"/>
      <c r="H128" s="26"/>
      <c r="I128" s="26"/>
      <c r="J128" s="26"/>
      <c r="K128" s="26"/>
      <c r="L128" s="496" t="s">
        <v>362</v>
      </c>
      <c r="M128" s="498"/>
      <c r="N128" s="39">
        <v>1000</v>
      </c>
      <c r="O128" s="39">
        <f>1085.127/1.2</f>
        <v>904.27250000000004</v>
      </c>
      <c r="P128" s="39"/>
      <c r="Q128" s="39"/>
      <c r="R128" s="39">
        <f>SUM(N128:Q128)</f>
        <v>1904.2725</v>
      </c>
      <c r="S128" s="4"/>
      <c r="T128" s="39">
        <f>N128*20%</f>
        <v>200</v>
      </c>
      <c r="U128" s="39">
        <f>O128*20%</f>
        <v>180.85450000000003</v>
      </c>
      <c r="V128" s="39"/>
      <c r="W128" s="39"/>
      <c r="X128" s="39">
        <f>SUM(T128:W128)</f>
        <v>380.85450000000003</v>
      </c>
    </row>
    <row r="129" spans="1:24" ht="18.75" customHeight="1" x14ac:dyDescent="0.25">
      <c r="A129" s="514"/>
      <c r="B129" s="5" t="s">
        <v>363</v>
      </c>
      <c r="C129" s="54" t="s">
        <v>364</v>
      </c>
      <c r="D129" s="5" t="s">
        <v>243</v>
      </c>
      <c r="E129" s="26">
        <v>0</v>
      </c>
      <c r="F129" s="26">
        <v>0</v>
      </c>
      <c r="G129" s="26">
        <v>0</v>
      </c>
      <c r="H129" s="26">
        <v>0</v>
      </c>
      <c r="I129" s="26">
        <v>0</v>
      </c>
      <c r="J129" s="26">
        <v>0</v>
      </c>
      <c r="K129" s="26">
        <v>0</v>
      </c>
      <c r="L129" s="26"/>
      <c r="N129" s="39"/>
      <c r="O129" s="39"/>
      <c r="P129" s="39"/>
      <c r="Q129" s="39"/>
      <c r="R129" s="39"/>
      <c r="S129" s="4"/>
      <c r="T129" s="39"/>
      <c r="U129" s="39"/>
      <c r="V129" s="39"/>
      <c r="W129" s="39"/>
      <c r="X129" s="39"/>
    </row>
    <row r="130" spans="1:24" ht="12.75" x14ac:dyDescent="0.25">
      <c r="A130" s="5">
        <v>9</v>
      </c>
      <c r="B130" s="515" t="s">
        <v>365</v>
      </c>
      <c r="C130" s="516"/>
      <c r="D130" s="5" t="s">
        <v>243</v>
      </c>
      <c r="E130" s="26">
        <v>0</v>
      </c>
      <c r="F130" s="26">
        <v>0</v>
      </c>
      <c r="G130" s="26">
        <v>0</v>
      </c>
      <c r="H130" s="26">
        <v>0</v>
      </c>
      <c r="I130" s="26">
        <v>0</v>
      </c>
      <c r="J130" s="26">
        <v>0</v>
      </c>
      <c r="K130" s="26">
        <v>0</v>
      </c>
      <c r="L130" s="26"/>
      <c r="M130" s="22"/>
      <c r="N130" s="39"/>
      <c r="O130" s="39"/>
      <c r="P130" s="39"/>
      <c r="Q130" s="39"/>
      <c r="R130" s="39"/>
      <c r="S130" s="4"/>
      <c r="T130" s="39"/>
      <c r="U130" s="39"/>
      <c r="V130" s="39"/>
      <c r="W130" s="39"/>
      <c r="X130" s="39"/>
    </row>
    <row r="131" spans="1:24" ht="12.75" x14ac:dyDescent="0.25">
      <c r="A131" s="511">
        <v>10</v>
      </c>
      <c r="B131" s="515" t="s">
        <v>366</v>
      </c>
      <c r="C131" s="516"/>
      <c r="D131" s="5" t="s">
        <v>243</v>
      </c>
      <c r="E131" s="26">
        <f>SUM(E132:E134)</f>
        <v>572.86891238999999</v>
      </c>
      <c r="F131" s="26">
        <f>SUM(F132:F134)</f>
        <v>565.95677891999992</v>
      </c>
      <c r="G131" s="26">
        <f>SUM(G132:G134)</f>
        <v>559.04464544999996</v>
      </c>
      <c r="H131" s="26">
        <f>SUM(H132:H134)</f>
        <v>552.13251198</v>
      </c>
      <c r="I131" s="26">
        <f>SUM(E131:H131)</f>
        <v>2250.00284874</v>
      </c>
      <c r="J131" s="26">
        <f>SUM(J132:J134)</f>
        <v>2250.00284874</v>
      </c>
      <c r="K131" s="26">
        <f>SUM(K132:K134)</f>
        <v>2250.00284874</v>
      </c>
      <c r="L131" s="26"/>
      <c r="M131" s="22"/>
      <c r="N131" s="39"/>
      <c r="O131" s="39"/>
      <c r="P131" s="39"/>
      <c r="Q131" s="39"/>
      <c r="R131" s="39"/>
      <c r="S131" s="28"/>
      <c r="T131" s="39"/>
      <c r="U131" s="39"/>
      <c r="V131" s="39"/>
      <c r="W131" s="39"/>
      <c r="X131" s="39"/>
    </row>
    <row r="132" spans="1:24" ht="12.75" x14ac:dyDescent="0.25">
      <c r="A132" s="512"/>
      <c r="B132" s="5" t="s">
        <v>367</v>
      </c>
      <c r="C132" s="8" t="s">
        <v>160</v>
      </c>
      <c r="D132" s="5" t="s">
        <v>243</v>
      </c>
      <c r="E132" s="26">
        <v>2.4700000000000002</v>
      </c>
      <c r="F132" s="26">
        <v>2.4700000000000002</v>
      </c>
      <c r="G132" s="26">
        <v>2.4700000000000002</v>
      </c>
      <c r="H132" s="26">
        <v>2.4700000000000002</v>
      </c>
      <c r="I132" s="26">
        <v>9.8800000000000008</v>
      </c>
      <c r="J132" s="26">
        <v>9.8800000000000008</v>
      </c>
      <c r="K132" s="26">
        <v>9.8800000000000008</v>
      </c>
      <c r="L132" s="515" t="s">
        <v>368</v>
      </c>
      <c r="M132" s="516"/>
      <c r="N132" s="39">
        <f>E131</f>
        <v>572.86891238999999</v>
      </c>
      <c r="O132" s="39">
        <f>F131</f>
        <v>565.95677891999992</v>
      </c>
      <c r="P132" s="39">
        <f>G131</f>
        <v>559.04464544999996</v>
      </c>
      <c r="Q132" s="39">
        <f>H131</f>
        <v>552.13251198</v>
      </c>
      <c r="R132" s="39">
        <f>SUM(N132:Q132)</f>
        <v>2250.00284874</v>
      </c>
      <c r="S132" s="28"/>
      <c r="T132" s="39"/>
      <c r="U132" s="39"/>
      <c r="V132" s="39"/>
      <c r="W132" s="39"/>
      <c r="X132" s="39"/>
    </row>
    <row r="133" spans="1:24" ht="12.75" x14ac:dyDescent="0.25">
      <c r="A133" s="512"/>
      <c r="B133" s="5" t="s">
        <v>369</v>
      </c>
      <c r="C133" s="8" t="s">
        <v>162</v>
      </c>
      <c r="D133" s="5" t="s">
        <v>243</v>
      </c>
      <c r="E133" s="26">
        <v>30.92</v>
      </c>
      <c r="F133" s="26">
        <v>30.92</v>
      </c>
      <c r="G133" s="26">
        <v>30.92</v>
      </c>
      <c r="H133" s="26">
        <v>30.92</v>
      </c>
      <c r="I133" s="26">
        <f>SUM(E133:H133)</f>
        <v>123.68</v>
      </c>
      <c r="J133" s="26">
        <f>I133</f>
        <v>123.68</v>
      </c>
      <c r="K133" s="26">
        <f>J133</f>
        <v>123.68</v>
      </c>
      <c r="L133" s="26"/>
      <c r="M133" s="22"/>
      <c r="N133" s="39"/>
      <c r="O133" s="39"/>
      <c r="P133" s="39"/>
      <c r="Q133" s="39"/>
      <c r="R133" s="39"/>
      <c r="S133" s="28"/>
      <c r="T133" s="39"/>
      <c r="U133" s="39"/>
      <c r="V133" s="39"/>
      <c r="W133" s="39"/>
      <c r="X133" s="39"/>
    </row>
    <row r="134" spans="1:24" ht="21.75" customHeight="1" x14ac:dyDescent="0.25">
      <c r="A134" s="513"/>
      <c r="B134" s="5" t="s">
        <v>370</v>
      </c>
      <c r="C134" s="8" t="s">
        <v>164</v>
      </c>
      <c r="D134" s="5" t="s">
        <v>243</v>
      </c>
      <c r="E134" s="26">
        <f>[6]TDSheet!$Q$691/1000</f>
        <v>539.47891239</v>
      </c>
      <c r="F134" s="26">
        <f>[6]TDSheet!$Q$692/1000</f>
        <v>532.56677891999993</v>
      </c>
      <c r="G134" s="26">
        <f>[6]TDSheet!$Q$693/1000</f>
        <v>525.65464544999998</v>
      </c>
      <c r="H134" s="26">
        <f>[6]TDSheet!$Q$694/1000</f>
        <v>518.74251198000002</v>
      </c>
      <c r="I134" s="26">
        <f>SUM(E134:H134)</f>
        <v>2116.44284874</v>
      </c>
      <c r="J134" s="26">
        <f>I134</f>
        <v>2116.44284874</v>
      </c>
      <c r="K134" s="26">
        <f>J134</f>
        <v>2116.44284874</v>
      </c>
      <c r="L134" s="26"/>
      <c r="M134" s="22"/>
      <c r="N134" s="39"/>
      <c r="O134" s="39"/>
      <c r="P134" s="39"/>
      <c r="Q134" s="39"/>
      <c r="R134" s="39"/>
      <c r="S134" s="28"/>
      <c r="T134" s="39"/>
      <c r="U134" s="39"/>
      <c r="V134" s="39"/>
      <c r="W134" s="39"/>
      <c r="X134" s="39"/>
    </row>
    <row r="135" spans="1:24" ht="12.75" x14ac:dyDescent="0.25">
      <c r="A135" s="511">
        <v>11</v>
      </c>
      <c r="B135" s="515" t="s">
        <v>371</v>
      </c>
      <c r="C135" s="516"/>
      <c r="D135" s="5" t="s">
        <v>243</v>
      </c>
      <c r="E135" s="26" t="e">
        <f>E136+E196+E204+E222+E227+E234+E236+E247+E264+E270+E344+E351+E364+E365+E369+E371</f>
        <v>#REF!</v>
      </c>
      <c r="F135" s="26" t="e">
        <f>F136+F196+F204+F222+F227+F234+F236+F247+F264+F270+F344+F351+F364+F365+F369+F371+0.01</f>
        <v>#REF!</v>
      </c>
      <c r="G135" s="26" t="e">
        <f>G136+G196+G204+G222+G227+G234+G236+G247+G264+G270+G344+G351+G364+G365+G369+G371+0.01</f>
        <v>#REF!</v>
      </c>
      <c r="H135" s="26" t="e">
        <f>H136+H196+H204+H222+H227+H234+H236+H247+H264+H270+H344+H351+H364+H365+H369+H371</f>
        <v>#REF!</v>
      </c>
      <c r="I135" s="26" t="e">
        <f>I136+I196+I204+I222+I227+I234+I236+I247+I264+I270+I344+I351+I364+I365+I369+I371</f>
        <v>#REF!</v>
      </c>
      <c r="J135" s="26" t="e">
        <f>J136+J196+J204+J222+J227+J234+J236+J247+J264+J270+J344+J351+J364+J365+J369+J370+J371</f>
        <v>#REF!</v>
      </c>
      <c r="K135" s="26" t="e">
        <f>K136+K196+K204+K222+K227+K234+K236+K247+K264+K270+K344+K351+K364+K365+K369+K370+K371-0.01</f>
        <v>#REF!</v>
      </c>
      <c r="L135" s="26"/>
      <c r="M135" s="22"/>
      <c r="N135" s="39"/>
      <c r="O135" s="39"/>
      <c r="P135" s="39"/>
      <c r="Q135" s="39"/>
      <c r="R135" s="39"/>
      <c r="S135" s="28"/>
      <c r="T135" s="39"/>
      <c r="U135" s="39"/>
      <c r="V135" s="39"/>
      <c r="W135" s="39"/>
      <c r="X135" s="39"/>
    </row>
    <row r="136" spans="1:24" ht="31.5" customHeight="1" x14ac:dyDescent="0.25">
      <c r="A136" s="512"/>
      <c r="B136" s="5" t="s">
        <v>76</v>
      </c>
      <c r="C136" s="4" t="s">
        <v>152</v>
      </c>
      <c r="D136" s="5" t="s">
        <v>243</v>
      </c>
      <c r="E136" s="26">
        <f>N136</f>
        <v>266.12099999999998</v>
      </c>
      <c r="F136" s="26">
        <f>O136</f>
        <v>453.41705000000007</v>
      </c>
      <c r="G136" s="26">
        <f>P136</f>
        <v>103.44905</v>
      </c>
      <c r="H136" s="26">
        <f>Q136</f>
        <v>101.64905</v>
      </c>
      <c r="I136" s="26">
        <f>SUM(E136:H136)</f>
        <v>924.63615000000004</v>
      </c>
      <c r="J136" s="26">
        <f>I136*1.039+75+50</f>
        <v>1085.69695985</v>
      </c>
      <c r="K136" s="26">
        <f>(J136-50)*1.039</f>
        <v>1076.0891412841499</v>
      </c>
      <c r="L136" s="5" t="s">
        <v>76</v>
      </c>
      <c r="M136" s="4" t="s">
        <v>152</v>
      </c>
      <c r="N136" s="39">
        <f>N137+N183+N184+N189+N193</f>
        <v>266.12099999999998</v>
      </c>
      <c r="O136" s="39">
        <f>O137+O183+O184+O189+O193</f>
        <v>453.41705000000007</v>
      </c>
      <c r="P136" s="39">
        <f>P137+P183+P184+P189+P193</f>
        <v>103.44905</v>
      </c>
      <c r="Q136" s="39">
        <f>Q137+Q183+Q184+Q189+Q193</f>
        <v>101.64905</v>
      </c>
      <c r="R136" s="39">
        <f t="shared" ref="R136:R183" si="19">SUM(N136:Q136)</f>
        <v>924.63615000000004</v>
      </c>
      <c r="S136" s="28" t="s">
        <v>245</v>
      </c>
      <c r="T136" s="39"/>
      <c r="U136" s="39"/>
      <c r="V136" s="39"/>
      <c r="W136" s="39"/>
      <c r="X136" s="39"/>
    </row>
    <row r="137" spans="1:24" ht="28.5" hidden="1" customHeight="1" x14ac:dyDescent="0.25">
      <c r="A137" s="512"/>
      <c r="B137" s="5"/>
      <c r="C137" s="4"/>
      <c r="D137" s="5"/>
      <c r="E137" s="26"/>
      <c r="F137" s="26"/>
      <c r="G137" s="26"/>
      <c r="H137" s="26"/>
      <c r="I137" s="26"/>
      <c r="J137" s="26"/>
      <c r="K137" s="26"/>
      <c r="L137" s="515" t="s">
        <v>13</v>
      </c>
      <c r="M137" s="516"/>
      <c r="N137" s="39">
        <f>SUM(N138:N182)</f>
        <v>168.97194999999999</v>
      </c>
      <c r="O137" s="39">
        <f>SUM(O138:O182)</f>
        <v>349.96800000000002</v>
      </c>
      <c r="P137" s="39">
        <f>SUM(P138:P182)</f>
        <v>0</v>
      </c>
      <c r="Q137" s="39">
        <f>SUM(Q138:Q182)</f>
        <v>0</v>
      </c>
      <c r="R137" s="39">
        <f t="shared" si="19"/>
        <v>518.93994999999995</v>
      </c>
      <c r="S137" s="28"/>
      <c r="T137" s="39"/>
      <c r="U137" s="39"/>
      <c r="V137" s="39"/>
      <c r="W137" s="39"/>
      <c r="X137" s="39"/>
    </row>
    <row r="138" spans="1:24" ht="28.5" hidden="1" customHeight="1" x14ac:dyDescent="0.25">
      <c r="A138" s="512"/>
      <c r="B138" s="5"/>
      <c r="C138" s="4"/>
      <c r="D138" s="5"/>
      <c r="E138" s="26"/>
      <c r="F138" s="26"/>
      <c r="G138" s="26"/>
      <c r="H138" s="26"/>
      <c r="I138" s="26"/>
      <c r="J138" s="26"/>
      <c r="K138" s="26"/>
      <c r="L138" s="26"/>
      <c r="M138" s="55" t="s">
        <v>372</v>
      </c>
      <c r="N138" s="39"/>
      <c r="O138" s="39"/>
      <c r="P138" s="39"/>
      <c r="Q138" s="39"/>
      <c r="R138" s="39">
        <f t="shared" si="19"/>
        <v>0</v>
      </c>
      <c r="S138" s="28"/>
      <c r="T138" s="39"/>
      <c r="U138" s="39"/>
      <c r="V138" s="39"/>
      <c r="W138" s="39"/>
      <c r="X138" s="39"/>
    </row>
    <row r="139" spans="1:24" ht="28.5" hidden="1" customHeight="1" x14ac:dyDescent="0.25">
      <c r="A139" s="512"/>
      <c r="B139" s="5"/>
      <c r="C139" s="4"/>
      <c r="D139" s="5"/>
      <c r="E139" s="26"/>
      <c r="F139" s="26"/>
      <c r="G139" s="26"/>
      <c r="H139" s="26"/>
      <c r="I139" s="26"/>
      <c r="J139" s="26"/>
      <c r="K139" s="26"/>
      <c r="L139" s="26"/>
      <c r="M139" s="55" t="s">
        <v>373</v>
      </c>
      <c r="N139" s="39"/>
      <c r="O139" s="39"/>
      <c r="P139" s="39"/>
      <c r="Q139" s="39"/>
      <c r="R139" s="39">
        <f t="shared" si="19"/>
        <v>0</v>
      </c>
      <c r="S139" s="28"/>
      <c r="T139" s="39"/>
      <c r="U139" s="39"/>
      <c r="V139" s="39"/>
      <c r="W139" s="39"/>
      <c r="X139" s="39"/>
    </row>
    <row r="140" spans="1:24" ht="28.5" hidden="1" customHeight="1" x14ac:dyDescent="0.25">
      <c r="A140" s="512"/>
      <c r="B140" s="5"/>
      <c r="C140" s="4"/>
      <c r="D140" s="5"/>
      <c r="E140" s="26"/>
      <c r="F140" s="26"/>
      <c r="G140" s="26"/>
      <c r="H140" s="26"/>
      <c r="I140" s="26"/>
      <c r="J140" s="26"/>
      <c r="K140" s="26"/>
      <c r="L140" s="26"/>
      <c r="M140" s="55" t="s">
        <v>374</v>
      </c>
      <c r="N140" s="39"/>
      <c r="O140" s="39"/>
      <c r="P140" s="39"/>
      <c r="Q140" s="39"/>
      <c r="R140" s="39">
        <f t="shared" si="19"/>
        <v>0</v>
      </c>
      <c r="S140" s="28"/>
      <c r="T140" s="39"/>
      <c r="U140" s="39"/>
      <c r="V140" s="39"/>
      <c r="W140" s="39"/>
      <c r="X140" s="39"/>
    </row>
    <row r="141" spans="1:24" ht="28.5" hidden="1" customHeight="1" x14ac:dyDescent="0.25">
      <c r="A141" s="512"/>
      <c r="B141" s="5"/>
      <c r="C141" s="4"/>
      <c r="D141" s="5"/>
      <c r="E141" s="26"/>
      <c r="F141" s="26"/>
      <c r="G141" s="26"/>
      <c r="H141" s="26"/>
      <c r="I141" s="26"/>
      <c r="J141" s="26"/>
      <c r="K141" s="26"/>
      <c r="L141" s="26"/>
      <c r="M141" s="55" t="s">
        <v>375</v>
      </c>
      <c r="N141" s="39"/>
      <c r="O141" s="39"/>
      <c r="P141" s="39"/>
      <c r="Q141" s="39"/>
      <c r="R141" s="39">
        <f t="shared" si="19"/>
        <v>0</v>
      </c>
      <c r="S141" s="28"/>
      <c r="T141" s="39"/>
      <c r="U141" s="39"/>
      <c r="V141" s="39"/>
      <c r="W141" s="39"/>
      <c r="X141" s="39"/>
    </row>
    <row r="142" spans="1:24" ht="28.5" hidden="1" customHeight="1" x14ac:dyDescent="0.25">
      <c r="A142" s="512"/>
      <c r="B142" s="5"/>
      <c r="C142" s="4"/>
      <c r="D142" s="5"/>
      <c r="E142" s="26"/>
      <c r="F142" s="26"/>
      <c r="G142" s="26"/>
      <c r="H142" s="26"/>
      <c r="I142" s="26"/>
      <c r="J142" s="26"/>
      <c r="K142" s="26"/>
      <c r="L142" s="26"/>
      <c r="M142" s="55" t="s">
        <v>376</v>
      </c>
      <c r="N142" s="39"/>
      <c r="O142" s="39"/>
      <c r="P142" s="39"/>
      <c r="Q142" s="39"/>
      <c r="R142" s="39">
        <f t="shared" si="19"/>
        <v>0</v>
      </c>
      <c r="S142" s="28"/>
      <c r="T142" s="39"/>
      <c r="U142" s="39"/>
      <c r="V142" s="39"/>
      <c r="W142" s="39"/>
      <c r="X142" s="39"/>
    </row>
    <row r="143" spans="1:24" ht="28.5" hidden="1" customHeight="1" x14ac:dyDescent="0.25">
      <c r="A143" s="512"/>
      <c r="B143" s="5"/>
      <c r="C143" s="4"/>
      <c r="D143" s="5"/>
      <c r="E143" s="26"/>
      <c r="F143" s="26"/>
      <c r="G143" s="26"/>
      <c r="H143" s="26"/>
      <c r="I143" s="26"/>
      <c r="J143" s="26"/>
      <c r="K143" s="26"/>
      <c r="L143" s="26"/>
      <c r="M143" s="55" t="s">
        <v>377</v>
      </c>
      <c r="N143" s="39"/>
      <c r="O143" s="39"/>
      <c r="P143" s="39"/>
      <c r="Q143" s="39"/>
      <c r="R143" s="39">
        <f t="shared" si="19"/>
        <v>0</v>
      </c>
      <c r="S143" s="28"/>
      <c r="T143" s="39"/>
      <c r="U143" s="39"/>
      <c r="V143" s="39"/>
      <c r="W143" s="39"/>
      <c r="X143" s="39"/>
    </row>
    <row r="144" spans="1:24" ht="28.5" hidden="1" customHeight="1" x14ac:dyDescent="0.25">
      <c r="A144" s="512"/>
      <c r="B144" s="5"/>
      <c r="C144" s="4"/>
      <c r="D144" s="5"/>
      <c r="E144" s="26"/>
      <c r="F144" s="26"/>
      <c r="G144" s="26"/>
      <c r="H144" s="26"/>
      <c r="I144" s="26"/>
      <c r="J144" s="26"/>
      <c r="K144" s="26"/>
      <c r="L144" s="26"/>
      <c r="M144" s="55" t="s">
        <v>378</v>
      </c>
      <c r="N144" s="39"/>
      <c r="O144" s="39"/>
      <c r="P144" s="39"/>
      <c r="Q144" s="39"/>
      <c r="R144" s="39">
        <f t="shared" si="19"/>
        <v>0</v>
      </c>
      <c r="S144" s="28"/>
      <c r="T144" s="39"/>
      <c r="U144" s="39"/>
      <c r="V144" s="39"/>
      <c r="W144" s="39"/>
      <c r="X144" s="39"/>
    </row>
    <row r="145" spans="1:24" ht="28.5" hidden="1" customHeight="1" x14ac:dyDescent="0.25">
      <c r="A145" s="512"/>
      <c r="B145" s="5"/>
      <c r="C145" s="4"/>
      <c r="D145" s="5"/>
      <c r="E145" s="26"/>
      <c r="F145" s="26"/>
      <c r="G145" s="26"/>
      <c r="H145" s="26"/>
      <c r="I145" s="26"/>
      <c r="J145" s="26"/>
      <c r="K145" s="26"/>
      <c r="L145" s="26"/>
      <c r="M145" s="55" t="s">
        <v>379</v>
      </c>
      <c r="N145" s="39"/>
      <c r="O145" s="39"/>
      <c r="P145" s="39"/>
      <c r="Q145" s="39"/>
      <c r="R145" s="39">
        <f t="shared" si="19"/>
        <v>0</v>
      </c>
      <c r="S145" s="28"/>
      <c r="T145" s="39"/>
      <c r="U145" s="39"/>
      <c r="V145" s="39"/>
      <c r="W145" s="39"/>
      <c r="X145" s="39"/>
    </row>
    <row r="146" spans="1:24" ht="28.5" hidden="1" customHeight="1" x14ac:dyDescent="0.25">
      <c r="A146" s="512"/>
      <c r="B146" s="5"/>
      <c r="C146" s="4"/>
      <c r="D146" s="5"/>
      <c r="E146" s="26"/>
      <c r="F146" s="26"/>
      <c r="G146" s="26"/>
      <c r="H146" s="26"/>
      <c r="I146" s="26"/>
      <c r="J146" s="26"/>
      <c r="K146" s="26"/>
      <c r="L146" s="26"/>
      <c r="M146" s="55" t="s">
        <v>380</v>
      </c>
      <c r="N146" s="39">
        <v>12.389060000000001</v>
      </c>
      <c r="O146" s="39"/>
      <c r="P146" s="39"/>
      <c r="Q146" s="39"/>
      <c r="R146" s="39">
        <f t="shared" si="19"/>
        <v>12.389060000000001</v>
      </c>
      <c r="S146" s="28"/>
      <c r="T146" s="39"/>
      <c r="U146" s="39"/>
      <c r="V146" s="39"/>
      <c r="W146" s="39"/>
      <c r="X146" s="39"/>
    </row>
    <row r="147" spans="1:24" ht="28.5" hidden="1" customHeight="1" x14ac:dyDescent="0.25">
      <c r="A147" s="512"/>
      <c r="B147" s="5"/>
      <c r="C147" s="4"/>
      <c r="D147" s="5"/>
      <c r="E147" s="26"/>
      <c r="F147" s="26"/>
      <c r="G147" s="26"/>
      <c r="H147" s="26"/>
      <c r="I147" s="26"/>
      <c r="J147" s="26"/>
      <c r="K147" s="26"/>
      <c r="L147" s="26"/>
      <c r="M147" s="55" t="s">
        <v>381</v>
      </c>
      <c r="N147" s="39"/>
      <c r="O147" s="39"/>
      <c r="P147" s="39"/>
      <c r="Q147" s="39"/>
      <c r="R147" s="39">
        <f t="shared" si="19"/>
        <v>0</v>
      </c>
      <c r="S147" s="28"/>
      <c r="T147" s="39"/>
      <c r="U147" s="39"/>
      <c r="V147" s="39"/>
      <c r="W147" s="39"/>
      <c r="X147" s="39"/>
    </row>
    <row r="148" spans="1:24" ht="28.5" hidden="1" customHeight="1" x14ac:dyDescent="0.25">
      <c r="A148" s="512"/>
      <c r="B148" s="5"/>
      <c r="C148" s="4"/>
      <c r="D148" s="5"/>
      <c r="E148" s="26"/>
      <c r="F148" s="26"/>
      <c r="G148" s="26"/>
      <c r="H148" s="26"/>
      <c r="I148" s="26"/>
      <c r="J148" s="26"/>
      <c r="K148" s="26"/>
      <c r="L148" s="26"/>
      <c r="M148" s="55" t="s">
        <v>382</v>
      </c>
      <c r="N148" s="39"/>
      <c r="O148" s="39"/>
      <c r="P148" s="39"/>
      <c r="Q148" s="39"/>
      <c r="R148" s="39">
        <f t="shared" si="19"/>
        <v>0</v>
      </c>
      <c r="S148" s="28"/>
      <c r="T148" s="39"/>
      <c r="U148" s="39"/>
      <c r="V148" s="39"/>
      <c r="W148" s="39"/>
      <c r="X148" s="39"/>
    </row>
    <row r="149" spans="1:24" ht="28.5" hidden="1" customHeight="1" x14ac:dyDescent="0.25">
      <c r="A149" s="512"/>
      <c r="B149" s="5"/>
      <c r="C149" s="4"/>
      <c r="D149" s="5"/>
      <c r="E149" s="26"/>
      <c r="F149" s="26"/>
      <c r="G149" s="26"/>
      <c r="H149" s="26"/>
      <c r="I149" s="26"/>
      <c r="J149" s="26"/>
      <c r="K149" s="26"/>
      <c r="L149" s="26"/>
      <c r="M149" s="55" t="s">
        <v>383</v>
      </c>
      <c r="N149" s="39"/>
      <c r="O149" s="39"/>
      <c r="P149" s="39"/>
      <c r="Q149" s="39"/>
      <c r="R149" s="39">
        <f t="shared" si="19"/>
        <v>0</v>
      </c>
      <c r="S149" s="28"/>
      <c r="T149" s="39"/>
      <c r="U149" s="39"/>
      <c r="V149" s="39"/>
      <c r="W149" s="39"/>
      <c r="X149" s="39"/>
    </row>
    <row r="150" spans="1:24" ht="28.5" hidden="1" customHeight="1" x14ac:dyDescent="0.25">
      <c r="A150" s="512"/>
      <c r="B150" s="5"/>
      <c r="C150" s="4"/>
      <c r="D150" s="5"/>
      <c r="E150" s="26"/>
      <c r="F150" s="26"/>
      <c r="G150" s="26"/>
      <c r="H150" s="26"/>
      <c r="I150" s="26"/>
      <c r="J150" s="26"/>
      <c r="K150" s="26"/>
      <c r="L150" s="26"/>
      <c r="M150" s="55" t="s">
        <v>384</v>
      </c>
      <c r="N150" s="39">
        <v>5.3791399999999996</v>
      </c>
      <c r="O150" s="39"/>
      <c r="P150" s="39"/>
      <c r="Q150" s="39"/>
      <c r="R150" s="39">
        <f t="shared" si="19"/>
        <v>5.3791399999999996</v>
      </c>
      <c r="S150" s="28"/>
      <c r="T150" s="39"/>
      <c r="U150" s="39"/>
      <c r="V150" s="39"/>
      <c r="W150" s="39"/>
      <c r="X150" s="39"/>
    </row>
    <row r="151" spans="1:24" ht="28.5" hidden="1" customHeight="1" x14ac:dyDescent="0.25">
      <c r="A151" s="512"/>
      <c r="B151" s="5"/>
      <c r="C151" s="4"/>
      <c r="D151" s="5"/>
      <c r="E151" s="26"/>
      <c r="F151" s="26"/>
      <c r="G151" s="26"/>
      <c r="H151" s="26"/>
      <c r="I151" s="26"/>
      <c r="J151" s="26"/>
      <c r="K151" s="26"/>
      <c r="L151" s="26"/>
      <c r="M151" s="55" t="s">
        <v>385</v>
      </c>
      <c r="N151" s="39"/>
      <c r="O151" s="39"/>
      <c r="P151" s="39"/>
      <c r="Q151" s="39"/>
      <c r="R151" s="39">
        <f t="shared" si="19"/>
        <v>0</v>
      </c>
      <c r="S151" s="28"/>
      <c r="T151" s="39"/>
      <c r="U151" s="39"/>
      <c r="V151" s="39"/>
      <c r="W151" s="39"/>
      <c r="X151" s="39"/>
    </row>
    <row r="152" spans="1:24" ht="28.5" hidden="1" customHeight="1" x14ac:dyDescent="0.25">
      <c r="A152" s="512"/>
      <c r="B152" s="5"/>
      <c r="C152" s="4"/>
      <c r="D152" s="5"/>
      <c r="E152" s="26"/>
      <c r="F152" s="26"/>
      <c r="G152" s="26"/>
      <c r="H152" s="26"/>
      <c r="I152" s="26"/>
      <c r="J152" s="26"/>
      <c r="K152" s="26"/>
      <c r="L152" s="26"/>
      <c r="M152" s="55" t="s">
        <v>386</v>
      </c>
      <c r="N152" s="39"/>
      <c r="O152" s="39"/>
      <c r="P152" s="39"/>
      <c r="Q152" s="39"/>
      <c r="R152" s="39">
        <f t="shared" si="19"/>
        <v>0</v>
      </c>
      <c r="S152" s="28"/>
      <c r="T152" s="39"/>
      <c r="U152" s="39"/>
      <c r="V152" s="39"/>
      <c r="W152" s="39"/>
      <c r="X152" s="39"/>
    </row>
    <row r="153" spans="1:24" ht="28.5" hidden="1" customHeight="1" x14ac:dyDescent="0.25">
      <c r="A153" s="512"/>
      <c r="B153" s="5"/>
      <c r="C153" s="4"/>
      <c r="D153" s="5"/>
      <c r="E153" s="26"/>
      <c r="F153" s="26"/>
      <c r="G153" s="26"/>
      <c r="H153" s="26"/>
      <c r="I153" s="26"/>
      <c r="J153" s="26"/>
      <c r="K153" s="26"/>
      <c r="L153" s="26"/>
      <c r="M153" s="55" t="s">
        <v>387</v>
      </c>
      <c r="N153" s="39"/>
      <c r="O153" s="39"/>
      <c r="P153" s="39"/>
      <c r="Q153" s="39"/>
      <c r="R153" s="39">
        <f t="shared" si="19"/>
        <v>0</v>
      </c>
      <c r="S153" s="28"/>
      <c r="T153" s="39"/>
      <c r="U153" s="39"/>
      <c r="V153" s="39"/>
      <c r="W153" s="39"/>
      <c r="X153" s="39"/>
    </row>
    <row r="154" spans="1:24" ht="28.5" hidden="1" customHeight="1" x14ac:dyDescent="0.25">
      <c r="A154" s="512"/>
      <c r="B154" s="5"/>
      <c r="C154" s="4"/>
      <c r="D154" s="5"/>
      <c r="E154" s="26"/>
      <c r="F154" s="26"/>
      <c r="G154" s="26"/>
      <c r="H154" s="26"/>
      <c r="I154" s="26"/>
      <c r="J154" s="26"/>
      <c r="K154" s="26"/>
      <c r="L154" s="26"/>
      <c r="M154" s="55" t="s">
        <v>388</v>
      </c>
      <c r="N154" s="39"/>
      <c r="O154" s="39"/>
      <c r="P154" s="39"/>
      <c r="Q154" s="39"/>
      <c r="R154" s="39">
        <f t="shared" si="19"/>
        <v>0</v>
      </c>
      <c r="S154" s="28"/>
      <c r="T154" s="39"/>
      <c r="U154" s="39"/>
      <c r="V154" s="39"/>
      <c r="W154" s="39"/>
      <c r="X154" s="39"/>
    </row>
    <row r="155" spans="1:24" ht="28.5" hidden="1" customHeight="1" x14ac:dyDescent="0.25">
      <c r="A155" s="512"/>
      <c r="B155" s="5"/>
      <c r="C155" s="4"/>
      <c r="D155" s="5"/>
      <c r="E155" s="26"/>
      <c r="F155" s="26"/>
      <c r="G155" s="26"/>
      <c r="H155" s="26"/>
      <c r="I155" s="26"/>
      <c r="J155" s="26"/>
      <c r="K155" s="26"/>
      <c r="L155" s="26"/>
      <c r="M155" s="55" t="s">
        <v>389</v>
      </c>
      <c r="N155" s="39"/>
      <c r="O155" s="39"/>
      <c r="P155" s="39"/>
      <c r="Q155" s="39"/>
      <c r="R155" s="39">
        <f t="shared" si="19"/>
        <v>0</v>
      </c>
      <c r="S155" s="28"/>
      <c r="T155" s="39"/>
      <c r="U155" s="39"/>
      <c r="V155" s="39"/>
      <c r="W155" s="39"/>
      <c r="X155" s="39"/>
    </row>
    <row r="156" spans="1:24" ht="28.5" hidden="1" customHeight="1" x14ac:dyDescent="0.25">
      <c r="A156" s="512"/>
      <c r="B156" s="5"/>
      <c r="C156" s="4"/>
      <c r="D156" s="5"/>
      <c r="E156" s="26"/>
      <c r="F156" s="26"/>
      <c r="G156" s="26"/>
      <c r="H156" s="26"/>
      <c r="I156" s="26"/>
      <c r="J156" s="26"/>
      <c r="K156" s="26"/>
      <c r="L156" s="26"/>
      <c r="M156" s="55" t="s">
        <v>390</v>
      </c>
      <c r="N156" s="39"/>
      <c r="O156" s="39"/>
      <c r="P156" s="39"/>
      <c r="Q156" s="39"/>
      <c r="R156" s="39">
        <f t="shared" si="19"/>
        <v>0</v>
      </c>
      <c r="S156" s="28"/>
      <c r="T156" s="39"/>
      <c r="U156" s="39"/>
      <c r="V156" s="39"/>
      <c r="W156" s="39"/>
      <c r="X156" s="39"/>
    </row>
    <row r="157" spans="1:24" ht="28.5" hidden="1" customHeight="1" x14ac:dyDescent="0.25">
      <c r="A157" s="512"/>
      <c r="B157" s="5"/>
      <c r="C157" s="4"/>
      <c r="D157" s="5"/>
      <c r="E157" s="26"/>
      <c r="F157" s="26"/>
      <c r="G157" s="26"/>
      <c r="H157" s="26"/>
      <c r="I157" s="26"/>
      <c r="J157" s="26"/>
      <c r="K157" s="26"/>
      <c r="L157" s="26"/>
      <c r="M157" s="55" t="s">
        <v>391</v>
      </c>
      <c r="N157" s="39"/>
      <c r="O157" s="39"/>
      <c r="P157" s="39"/>
      <c r="Q157" s="39"/>
      <c r="R157" s="39">
        <f t="shared" si="19"/>
        <v>0</v>
      </c>
      <c r="S157" s="28"/>
      <c r="T157" s="39"/>
      <c r="U157" s="39"/>
      <c r="V157" s="39"/>
      <c r="W157" s="39"/>
      <c r="X157" s="39"/>
    </row>
    <row r="158" spans="1:24" ht="28.5" hidden="1" customHeight="1" x14ac:dyDescent="0.25">
      <c r="A158" s="512"/>
      <c r="B158" s="5"/>
      <c r="C158" s="4"/>
      <c r="D158" s="5"/>
      <c r="E158" s="26"/>
      <c r="F158" s="26"/>
      <c r="G158" s="26"/>
      <c r="H158" s="26"/>
      <c r="I158" s="26"/>
      <c r="J158" s="26"/>
      <c r="K158" s="26"/>
      <c r="L158" s="26"/>
      <c r="M158" s="55" t="s">
        <v>392</v>
      </c>
      <c r="N158" s="39">
        <f>15.821*2</f>
        <v>31.641999999999999</v>
      </c>
      <c r="O158" s="39"/>
      <c r="P158" s="39"/>
      <c r="Q158" s="39"/>
      <c r="R158" s="39">
        <f t="shared" si="19"/>
        <v>31.641999999999999</v>
      </c>
      <c r="S158" s="28"/>
      <c r="T158" s="39"/>
      <c r="U158" s="39"/>
      <c r="V158" s="39"/>
      <c r="W158" s="39"/>
      <c r="X158" s="39"/>
    </row>
    <row r="159" spans="1:24" ht="28.5" hidden="1" customHeight="1" x14ac:dyDescent="0.25">
      <c r="A159" s="512"/>
      <c r="B159" s="5"/>
      <c r="C159" s="4"/>
      <c r="D159" s="5"/>
      <c r="E159" s="26"/>
      <c r="F159" s="26"/>
      <c r="G159" s="26"/>
      <c r="H159" s="26"/>
      <c r="I159" s="26"/>
      <c r="J159" s="26"/>
      <c r="K159" s="26"/>
      <c r="L159" s="26"/>
      <c r="M159" s="55" t="s">
        <v>393</v>
      </c>
      <c r="N159" s="39">
        <v>11.17206</v>
      </c>
      <c r="O159" s="39"/>
      <c r="P159" s="39"/>
      <c r="Q159" s="39"/>
      <c r="R159" s="39">
        <f t="shared" si="19"/>
        <v>11.17206</v>
      </c>
      <c r="S159" s="28"/>
      <c r="T159" s="39"/>
      <c r="U159" s="39"/>
      <c r="V159" s="39"/>
      <c r="W159" s="39"/>
      <c r="X159" s="39"/>
    </row>
    <row r="160" spans="1:24" ht="28.5" hidden="1" customHeight="1" x14ac:dyDescent="0.25">
      <c r="A160" s="512"/>
      <c r="B160" s="5"/>
      <c r="C160" s="4"/>
      <c r="D160" s="5"/>
      <c r="E160" s="26"/>
      <c r="F160" s="26"/>
      <c r="G160" s="26"/>
      <c r="H160" s="26"/>
      <c r="I160" s="26"/>
      <c r="J160" s="26"/>
      <c r="K160" s="26"/>
      <c r="L160" s="26"/>
      <c r="M160" s="55" t="s">
        <v>394</v>
      </c>
      <c r="N160" s="39"/>
      <c r="O160" s="39"/>
      <c r="P160" s="39"/>
      <c r="Q160" s="39"/>
      <c r="R160" s="39">
        <f t="shared" si="19"/>
        <v>0</v>
      </c>
      <c r="S160" s="28"/>
      <c r="T160" s="39"/>
      <c r="U160" s="39"/>
      <c r="V160" s="39"/>
      <c r="W160" s="39"/>
      <c r="X160" s="39"/>
    </row>
    <row r="161" spans="1:24" ht="28.5" hidden="1" customHeight="1" x14ac:dyDescent="0.25">
      <c r="A161" s="512"/>
      <c r="B161" s="5"/>
      <c r="C161" s="4"/>
      <c r="D161" s="5"/>
      <c r="E161" s="26"/>
      <c r="F161" s="26"/>
      <c r="G161" s="26"/>
      <c r="H161" s="26"/>
      <c r="I161" s="26"/>
      <c r="J161" s="26"/>
      <c r="K161" s="26"/>
      <c r="L161" s="26"/>
      <c r="M161" s="55" t="s">
        <v>395</v>
      </c>
      <c r="N161" s="39">
        <f>4.16214*2</f>
        <v>8.3242799999999999</v>
      </c>
      <c r="O161" s="39"/>
      <c r="P161" s="39"/>
      <c r="Q161" s="39"/>
      <c r="R161" s="39">
        <f t="shared" si="19"/>
        <v>8.3242799999999999</v>
      </c>
      <c r="S161" s="28"/>
      <c r="T161" s="39"/>
      <c r="U161" s="39"/>
      <c r="V161" s="39"/>
      <c r="W161" s="39"/>
      <c r="X161" s="39"/>
    </row>
    <row r="162" spans="1:24" ht="28.5" hidden="1" customHeight="1" x14ac:dyDescent="0.25">
      <c r="A162" s="512"/>
      <c r="B162" s="5"/>
      <c r="C162" s="4"/>
      <c r="D162" s="5"/>
      <c r="E162" s="26"/>
      <c r="F162" s="26"/>
      <c r="G162" s="26"/>
      <c r="H162" s="26"/>
      <c r="I162" s="26"/>
      <c r="J162" s="26"/>
      <c r="K162" s="26"/>
      <c r="L162" s="26"/>
      <c r="M162" s="55" t="s">
        <v>396</v>
      </c>
      <c r="N162" s="39">
        <f>4.16214*2</f>
        <v>8.3242799999999999</v>
      </c>
      <c r="O162" s="39"/>
      <c r="P162" s="39"/>
      <c r="Q162" s="39"/>
      <c r="R162" s="39">
        <f t="shared" si="19"/>
        <v>8.3242799999999999</v>
      </c>
      <c r="S162" s="28"/>
      <c r="T162" s="39"/>
      <c r="U162" s="39"/>
      <c r="V162" s="39"/>
      <c r="W162" s="39"/>
      <c r="X162" s="39"/>
    </row>
    <row r="163" spans="1:24" ht="28.5" hidden="1" customHeight="1" x14ac:dyDescent="0.25">
      <c r="A163" s="512"/>
      <c r="B163" s="5"/>
      <c r="C163" s="4"/>
      <c r="D163" s="5"/>
      <c r="E163" s="26"/>
      <c r="F163" s="26"/>
      <c r="G163" s="26"/>
      <c r="H163" s="26"/>
      <c r="I163" s="26"/>
      <c r="J163" s="26"/>
      <c r="K163" s="26"/>
      <c r="L163" s="26"/>
      <c r="M163" s="55" t="s">
        <v>397</v>
      </c>
      <c r="N163" s="39">
        <v>4.1621499999999996</v>
      </c>
      <c r="O163" s="39"/>
      <c r="P163" s="39"/>
      <c r="Q163" s="39"/>
      <c r="R163" s="39">
        <f t="shared" si="19"/>
        <v>4.1621499999999996</v>
      </c>
      <c r="S163" s="28"/>
      <c r="T163" s="39"/>
      <c r="U163" s="39"/>
      <c r="V163" s="39"/>
      <c r="W163" s="39"/>
      <c r="X163" s="39"/>
    </row>
    <row r="164" spans="1:24" ht="41.25" hidden="1" customHeight="1" x14ac:dyDescent="0.25">
      <c r="A164" s="512"/>
      <c r="B164" s="5"/>
      <c r="C164" s="4"/>
      <c r="D164" s="5"/>
      <c r="E164" s="26"/>
      <c r="F164" s="26"/>
      <c r="G164" s="26"/>
      <c r="H164" s="26"/>
      <c r="I164" s="26"/>
      <c r="J164" s="26"/>
      <c r="K164" s="26"/>
      <c r="L164" s="26"/>
      <c r="M164" s="55" t="s">
        <v>398</v>
      </c>
      <c r="N164" s="39"/>
      <c r="O164" s="39"/>
      <c r="P164" s="39"/>
      <c r="Q164" s="39"/>
      <c r="R164" s="39">
        <f t="shared" si="19"/>
        <v>0</v>
      </c>
      <c r="S164" s="28"/>
      <c r="T164" s="39"/>
      <c r="U164" s="39"/>
      <c r="V164" s="39"/>
      <c r="W164" s="39"/>
      <c r="X164" s="39"/>
    </row>
    <row r="165" spans="1:24" ht="35.25" hidden="1" customHeight="1" x14ac:dyDescent="0.25">
      <c r="A165" s="512"/>
      <c r="B165" s="5"/>
      <c r="C165" s="4"/>
      <c r="D165" s="5"/>
      <c r="E165" s="26"/>
      <c r="F165" s="26"/>
      <c r="G165" s="26"/>
      <c r="H165" s="26"/>
      <c r="I165" s="26"/>
      <c r="J165" s="26"/>
      <c r="K165" s="26"/>
      <c r="L165" s="26"/>
      <c r="M165" s="55" t="s">
        <v>373</v>
      </c>
      <c r="N165" s="39"/>
      <c r="O165" s="39"/>
      <c r="P165" s="39"/>
      <c r="Q165" s="39"/>
      <c r="R165" s="39">
        <f t="shared" si="19"/>
        <v>0</v>
      </c>
      <c r="S165" s="28"/>
      <c r="T165" s="39"/>
      <c r="U165" s="39"/>
      <c r="V165" s="39"/>
      <c r="W165" s="39"/>
      <c r="X165" s="39"/>
    </row>
    <row r="166" spans="1:24" ht="41.25" hidden="1" customHeight="1" x14ac:dyDescent="0.25">
      <c r="A166" s="512"/>
      <c r="B166" s="5"/>
      <c r="C166" s="4"/>
      <c r="D166" s="5"/>
      <c r="E166" s="26"/>
      <c r="F166" s="26"/>
      <c r="G166" s="26"/>
      <c r="H166" s="26"/>
      <c r="I166" s="26"/>
      <c r="J166" s="26"/>
      <c r="K166" s="26"/>
      <c r="L166" s="26"/>
      <c r="M166" s="55" t="s">
        <v>399</v>
      </c>
      <c r="N166" s="39"/>
      <c r="O166" s="39"/>
      <c r="P166" s="39"/>
      <c r="Q166" s="39"/>
      <c r="R166" s="39">
        <f t="shared" si="19"/>
        <v>0</v>
      </c>
      <c r="S166" s="28"/>
      <c r="T166" s="39"/>
      <c r="U166" s="39"/>
      <c r="V166" s="39"/>
      <c r="W166" s="39"/>
      <c r="X166" s="39"/>
    </row>
    <row r="167" spans="1:24" ht="41.25" hidden="1" customHeight="1" x14ac:dyDescent="0.25">
      <c r="A167" s="512"/>
      <c r="B167" s="5"/>
      <c r="C167" s="4"/>
      <c r="D167" s="5"/>
      <c r="E167" s="26"/>
      <c r="F167" s="26"/>
      <c r="G167" s="26"/>
      <c r="H167" s="26"/>
      <c r="I167" s="26"/>
      <c r="J167" s="26"/>
      <c r="K167" s="26"/>
      <c r="L167" s="26"/>
      <c r="M167" s="55" t="s">
        <v>400</v>
      </c>
      <c r="N167" s="39"/>
      <c r="O167" s="39"/>
      <c r="P167" s="39"/>
      <c r="Q167" s="39"/>
      <c r="R167" s="39">
        <f t="shared" si="19"/>
        <v>0</v>
      </c>
      <c r="S167" s="28"/>
      <c r="T167" s="39"/>
      <c r="U167" s="39"/>
      <c r="V167" s="39"/>
      <c r="W167" s="39"/>
      <c r="X167" s="39"/>
    </row>
    <row r="168" spans="1:24" ht="41.25" hidden="1" customHeight="1" x14ac:dyDescent="0.25">
      <c r="A168" s="512"/>
      <c r="B168" s="5"/>
      <c r="C168" s="4"/>
      <c r="D168" s="5"/>
      <c r="E168" s="26"/>
      <c r="F168" s="26"/>
      <c r="G168" s="26"/>
      <c r="H168" s="26"/>
      <c r="I168" s="26"/>
      <c r="J168" s="26"/>
      <c r="K168" s="26"/>
      <c r="L168" s="26"/>
      <c r="M168" s="55" t="s">
        <v>401</v>
      </c>
      <c r="N168" s="39"/>
      <c r="O168" s="39"/>
      <c r="P168" s="39"/>
      <c r="Q168" s="39"/>
      <c r="R168" s="39">
        <f t="shared" si="19"/>
        <v>0</v>
      </c>
      <c r="S168" s="28"/>
      <c r="T168" s="39"/>
      <c r="U168" s="39"/>
      <c r="V168" s="39"/>
      <c r="W168" s="39"/>
      <c r="X168" s="39"/>
    </row>
    <row r="169" spans="1:24" ht="41.25" hidden="1" customHeight="1" x14ac:dyDescent="0.25">
      <c r="A169" s="512"/>
      <c r="B169" s="5"/>
      <c r="C169" s="4"/>
      <c r="D169" s="5"/>
      <c r="E169" s="26"/>
      <c r="F169" s="26"/>
      <c r="G169" s="26"/>
      <c r="H169" s="26"/>
      <c r="I169" s="26"/>
      <c r="J169" s="26"/>
      <c r="K169" s="26"/>
      <c r="L169" s="26"/>
      <c r="M169" s="55" t="s">
        <v>402</v>
      </c>
      <c r="N169" s="39"/>
      <c r="O169" s="39"/>
      <c r="P169" s="39"/>
      <c r="Q169" s="39"/>
      <c r="R169" s="39">
        <f t="shared" si="19"/>
        <v>0</v>
      </c>
      <c r="S169" s="28"/>
      <c r="T169" s="39"/>
      <c r="U169" s="39"/>
      <c r="V169" s="39"/>
      <c r="W169" s="39"/>
      <c r="X169" s="39"/>
    </row>
    <row r="170" spans="1:24" ht="41.25" hidden="1" customHeight="1" x14ac:dyDescent="0.25">
      <c r="A170" s="512"/>
      <c r="B170" s="5"/>
      <c r="C170" s="4"/>
      <c r="D170" s="5"/>
      <c r="E170" s="26"/>
      <c r="F170" s="26"/>
      <c r="G170" s="26"/>
      <c r="H170" s="26"/>
      <c r="I170" s="26"/>
      <c r="J170" s="26"/>
      <c r="K170" s="26"/>
      <c r="L170" s="26"/>
      <c r="M170" s="55" t="s">
        <v>403</v>
      </c>
      <c r="N170" s="39"/>
      <c r="O170" s="39"/>
      <c r="P170" s="39"/>
      <c r="Q170" s="39"/>
      <c r="R170" s="39">
        <f t="shared" si="19"/>
        <v>0</v>
      </c>
      <c r="S170" s="28"/>
      <c r="T170" s="39"/>
      <c r="U170" s="39"/>
      <c r="V170" s="39"/>
      <c r="W170" s="39"/>
      <c r="X170" s="39"/>
    </row>
    <row r="171" spans="1:24" ht="41.25" hidden="1" customHeight="1" x14ac:dyDescent="0.25">
      <c r="A171" s="512"/>
      <c r="B171" s="5"/>
      <c r="C171" s="4"/>
      <c r="D171" s="5"/>
      <c r="E171" s="26"/>
      <c r="F171" s="26"/>
      <c r="G171" s="26"/>
      <c r="H171" s="26"/>
      <c r="I171" s="26"/>
      <c r="J171" s="26"/>
      <c r="K171" s="26"/>
      <c r="L171" s="26"/>
      <c r="M171" s="55" t="s">
        <v>404</v>
      </c>
      <c r="N171" s="39">
        <v>38.944000000000003</v>
      </c>
      <c r="O171" s="39"/>
      <c r="P171" s="39"/>
      <c r="Q171" s="39"/>
      <c r="R171" s="39">
        <f t="shared" si="19"/>
        <v>38.944000000000003</v>
      </c>
      <c r="S171" s="28"/>
      <c r="T171" s="39"/>
      <c r="U171" s="39"/>
      <c r="V171" s="39"/>
      <c r="W171" s="39"/>
      <c r="X171" s="39"/>
    </row>
    <row r="172" spans="1:24" ht="48" hidden="1" customHeight="1" x14ac:dyDescent="0.25">
      <c r="A172" s="512"/>
      <c r="B172" s="5"/>
      <c r="C172" s="4"/>
      <c r="D172" s="5"/>
      <c r="E172" s="26"/>
      <c r="F172" s="26"/>
      <c r="G172" s="26"/>
      <c r="H172" s="26"/>
      <c r="I172" s="26"/>
      <c r="J172" s="26"/>
      <c r="K172" s="26"/>
      <c r="L172" s="26"/>
      <c r="M172" s="55" t="s">
        <v>405</v>
      </c>
      <c r="N172" s="39"/>
      <c r="O172" s="39"/>
      <c r="P172" s="39"/>
      <c r="Q172" s="39"/>
      <c r="R172" s="39">
        <f t="shared" si="19"/>
        <v>0</v>
      </c>
      <c r="S172" s="28"/>
      <c r="T172" s="39"/>
      <c r="U172" s="39"/>
      <c r="V172" s="39"/>
      <c r="W172" s="39"/>
      <c r="X172" s="39"/>
    </row>
    <row r="173" spans="1:24" ht="39" hidden="1" customHeight="1" x14ac:dyDescent="0.25">
      <c r="A173" s="512"/>
      <c r="B173" s="5"/>
      <c r="C173" s="4"/>
      <c r="D173" s="5"/>
      <c r="E173" s="26"/>
      <c r="F173" s="26"/>
      <c r="G173" s="26"/>
      <c r="H173" s="26"/>
      <c r="I173" s="26"/>
      <c r="J173" s="26"/>
      <c r="K173" s="26"/>
      <c r="L173" s="26"/>
      <c r="M173" s="55" t="s">
        <v>406</v>
      </c>
      <c r="N173" s="39"/>
      <c r="O173" s="39"/>
      <c r="P173" s="39"/>
      <c r="Q173" s="39"/>
      <c r="R173" s="39">
        <f t="shared" si="19"/>
        <v>0</v>
      </c>
      <c r="S173" s="28"/>
      <c r="T173" s="39"/>
      <c r="U173" s="39"/>
      <c r="V173" s="39"/>
      <c r="W173" s="39"/>
      <c r="X173" s="39"/>
    </row>
    <row r="174" spans="1:24" ht="39" hidden="1" customHeight="1" x14ac:dyDescent="0.25">
      <c r="A174" s="512"/>
      <c r="B174" s="5"/>
      <c r="C174" s="4"/>
      <c r="D174" s="5"/>
      <c r="E174" s="26"/>
      <c r="F174" s="26"/>
      <c r="G174" s="26"/>
      <c r="H174" s="26"/>
      <c r="I174" s="26"/>
      <c r="J174" s="26"/>
      <c r="K174" s="26"/>
      <c r="L174" s="26"/>
      <c r="M174" s="55" t="s">
        <v>407</v>
      </c>
      <c r="N174" s="39">
        <v>16.211659999999998</v>
      </c>
      <c r="O174" s="39"/>
      <c r="P174" s="39"/>
      <c r="Q174" s="39"/>
      <c r="R174" s="39">
        <f t="shared" si="19"/>
        <v>16.211659999999998</v>
      </c>
      <c r="S174" s="28"/>
      <c r="T174" s="39"/>
      <c r="U174" s="39"/>
      <c r="V174" s="39"/>
      <c r="W174" s="39"/>
      <c r="X174" s="39"/>
    </row>
    <row r="175" spans="1:24" ht="39" hidden="1" customHeight="1" x14ac:dyDescent="0.25">
      <c r="A175" s="512"/>
      <c r="B175" s="5"/>
      <c r="C175" s="4"/>
      <c r="D175" s="5"/>
      <c r="E175" s="26"/>
      <c r="F175" s="26"/>
      <c r="G175" s="26"/>
      <c r="H175" s="26"/>
      <c r="I175" s="26"/>
      <c r="J175" s="26"/>
      <c r="K175" s="26"/>
      <c r="L175" s="26"/>
      <c r="M175" s="55" t="s">
        <v>408</v>
      </c>
      <c r="N175" s="39">
        <v>16.211659999999998</v>
      </c>
      <c r="O175" s="39"/>
      <c r="P175" s="39"/>
      <c r="Q175" s="39"/>
      <c r="R175" s="39">
        <f t="shared" si="19"/>
        <v>16.211659999999998</v>
      </c>
      <c r="S175" s="28"/>
      <c r="T175" s="39"/>
      <c r="U175" s="39"/>
      <c r="V175" s="39"/>
      <c r="W175" s="39"/>
      <c r="X175" s="39"/>
    </row>
    <row r="176" spans="1:24" ht="39" hidden="1" customHeight="1" x14ac:dyDescent="0.25">
      <c r="A176" s="512"/>
      <c r="B176" s="5"/>
      <c r="C176" s="4"/>
      <c r="D176" s="5"/>
      <c r="E176" s="26"/>
      <c r="F176" s="26"/>
      <c r="G176" s="26"/>
      <c r="H176" s="26"/>
      <c r="I176" s="26"/>
      <c r="J176" s="26"/>
      <c r="K176" s="26"/>
      <c r="L176" s="26"/>
      <c r="M176" s="55" t="s">
        <v>409</v>
      </c>
      <c r="N176" s="39">
        <v>16.211659999999998</v>
      </c>
      <c r="O176" s="39"/>
      <c r="P176" s="39"/>
      <c r="Q176" s="39"/>
      <c r="R176" s="39">
        <f t="shared" si="19"/>
        <v>16.211659999999998</v>
      </c>
      <c r="S176" s="28"/>
      <c r="T176" s="39"/>
      <c r="U176" s="39"/>
      <c r="V176" s="39"/>
      <c r="W176" s="39"/>
      <c r="X176" s="39"/>
    </row>
    <row r="177" spans="1:24" ht="28.5" hidden="1" customHeight="1" x14ac:dyDescent="0.25">
      <c r="A177" s="512"/>
      <c r="B177" s="5"/>
      <c r="C177" s="4"/>
      <c r="D177" s="5"/>
      <c r="E177" s="26"/>
      <c r="F177" s="26"/>
      <c r="G177" s="26"/>
      <c r="H177" s="26"/>
      <c r="I177" s="26"/>
      <c r="J177" s="26"/>
      <c r="K177" s="26"/>
      <c r="L177" s="26"/>
      <c r="M177" s="55" t="s">
        <v>410</v>
      </c>
      <c r="N177" s="39"/>
      <c r="O177" s="39">
        <f>4*5*0.8</f>
        <v>16</v>
      </c>
      <c r="P177" s="39"/>
      <c r="Q177" s="39"/>
      <c r="R177" s="39">
        <f t="shared" si="19"/>
        <v>16</v>
      </c>
      <c r="S177" s="28"/>
      <c r="T177" s="39"/>
      <c r="U177" s="39"/>
      <c r="V177" s="39"/>
      <c r="W177" s="39"/>
      <c r="X177" s="39"/>
    </row>
    <row r="178" spans="1:24" ht="28.5" hidden="1" customHeight="1" x14ac:dyDescent="0.25">
      <c r="A178" s="512"/>
      <c r="B178" s="5"/>
      <c r="C178" s="4"/>
      <c r="D178" s="5"/>
      <c r="E178" s="26"/>
      <c r="F178" s="26"/>
      <c r="G178" s="26"/>
      <c r="H178" s="26"/>
      <c r="I178" s="26"/>
      <c r="J178" s="26"/>
      <c r="K178" s="26"/>
      <c r="L178" s="26"/>
      <c r="M178" s="55" t="s">
        <v>411</v>
      </c>
      <c r="N178" s="39"/>
      <c r="O178" s="39">
        <f>4*5*0.88</f>
        <v>17.600000000000001</v>
      </c>
      <c r="P178" s="39"/>
      <c r="Q178" s="39"/>
      <c r="R178" s="39">
        <f t="shared" si="19"/>
        <v>17.600000000000001</v>
      </c>
      <c r="S178" s="28"/>
      <c r="T178" s="39"/>
      <c r="U178" s="39"/>
      <c r="V178" s="39"/>
      <c r="W178" s="39"/>
      <c r="X178" s="39"/>
    </row>
    <row r="179" spans="1:24" ht="28.5" hidden="1" customHeight="1" x14ac:dyDescent="0.25">
      <c r="A179" s="512"/>
      <c r="B179" s="5"/>
      <c r="C179" s="4"/>
      <c r="D179" s="5"/>
      <c r="E179" s="26"/>
      <c r="F179" s="26"/>
      <c r="G179" s="26"/>
      <c r="H179" s="26"/>
      <c r="I179" s="26"/>
      <c r="J179" s="26"/>
      <c r="K179" s="26"/>
      <c r="L179" s="26"/>
      <c r="M179" s="55" t="s">
        <v>412</v>
      </c>
      <c r="N179" s="39"/>
      <c r="O179" s="39">
        <f>8*13.88</f>
        <v>111.04</v>
      </c>
      <c r="P179" s="39"/>
      <c r="Q179" s="39"/>
      <c r="R179" s="39">
        <f t="shared" si="19"/>
        <v>111.04</v>
      </c>
      <c r="S179" s="28"/>
      <c r="T179" s="39"/>
      <c r="U179" s="39"/>
      <c r="V179" s="39"/>
      <c r="W179" s="39"/>
      <c r="X179" s="39"/>
    </row>
    <row r="180" spans="1:24" ht="28.5" hidden="1" customHeight="1" x14ac:dyDescent="0.25">
      <c r="A180" s="512"/>
      <c r="B180" s="5"/>
      <c r="C180" s="4"/>
      <c r="D180" s="5"/>
      <c r="E180" s="26"/>
      <c r="F180" s="26"/>
      <c r="G180" s="26"/>
      <c r="H180" s="26"/>
      <c r="I180" s="26"/>
      <c r="J180" s="26"/>
      <c r="K180" s="26"/>
      <c r="L180" s="26"/>
      <c r="M180" s="55" t="s">
        <v>413</v>
      </c>
      <c r="N180" s="39"/>
      <c r="O180" s="39">
        <f>8*0.666</f>
        <v>5.3280000000000003</v>
      </c>
      <c r="P180" s="39"/>
      <c r="Q180" s="39"/>
      <c r="R180" s="39">
        <f t="shared" si="19"/>
        <v>5.3280000000000003</v>
      </c>
      <c r="S180" s="28"/>
      <c r="T180" s="39"/>
      <c r="U180" s="39"/>
      <c r="V180" s="39"/>
      <c r="W180" s="39"/>
      <c r="X180" s="39"/>
    </row>
    <row r="181" spans="1:24" ht="28.5" hidden="1" customHeight="1" x14ac:dyDescent="0.25">
      <c r="A181" s="512"/>
      <c r="B181" s="5"/>
      <c r="C181" s="4"/>
      <c r="D181" s="5"/>
      <c r="E181" s="26"/>
      <c r="F181" s="26"/>
      <c r="G181" s="26"/>
      <c r="H181" s="26"/>
      <c r="I181" s="26"/>
      <c r="J181" s="26"/>
      <c r="K181" s="26"/>
      <c r="L181" s="26"/>
      <c r="M181" s="56" t="s">
        <v>414</v>
      </c>
      <c r="N181" s="39"/>
      <c r="O181" s="39"/>
      <c r="P181" s="39"/>
      <c r="Q181" s="39"/>
      <c r="R181" s="39">
        <f t="shared" si="19"/>
        <v>0</v>
      </c>
      <c r="S181" s="28"/>
      <c r="T181" s="39"/>
      <c r="U181" s="39"/>
      <c r="V181" s="39"/>
      <c r="W181" s="39"/>
      <c r="X181" s="39"/>
    </row>
    <row r="182" spans="1:24" ht="28.5" hidden="1" customHeight="1" x14ac:dyDescent="0.25">
      <c r="A182" s="512"/>
      <c r="B182" s="5"/>
      <c r="C182" s="4"/>
      <c r="D182" s="5"/>
      <c r="E182" s="26"/>
      <c r="F182" s="26"/>
      <c r="G182" s="26"/>
      <c r="H182" s="26"/>
      <c r="I182" s="26"/>
      <c r="J182" s="26"/>
      <c r="K182" s="26"/>
      <c r="L182" s="26"/>
      <c r="M182" s="55" t="s">
        <v>415</v>
      </c>
      <c r="N182" s="39"/>
      <c r="O182" s="39">
        <f>4*50</f>
        <v>200</v>
      </c>
      <c r="P182" s="39"/>
      <c r="Q182" s="39"/>
      <c r="R182" s="39">
        <f t="shared" si="19"/>
        <v>200</v>
      </c>
      <c r="S182" s="28"/>
      <c r="T182" s="39"/>
      <c r="U182" s="39"/>
      <c r="V182" s="39"/>
      <c r="W182" s="39"/>
      <c r="X182" s="39"/>
    </row>
    <row r="183" spans="1:24" ht="28.5" hidden="1" customHeight="1" x14ac:dyDescent="0.25">
      <c r="A183" s="512"/>
      <c r="B183" s="5"/>
      <c r="C183" s="4"/>
      <c r="D183" s="5"/>
      <c r="E183" s="26"/>
      <c r="F183" s="26"/>
      <c r="G183" s="26"/>
      <c r="H183" s="26"/>
      <c r="I183" s="26"/>
      <c r="J183" s="26"/>
      <c r="K183" s="26"/>
      <c r="L183" s="515" t="s">
        <v>256</v>
      </c>
      <c r="M183" s="516"/>
      <c r="N183" s="39">
        <v>0</v>
      </c>
      <c r="O183" s="39">
        <v>0</v>
      </c>
      <c r="P183" s="39">
        <v>0</v>
      </c>
      <c r="Q183" s="39">
        <v>0</v>
      </c>
      <c r="R183" s="39">
        <f t="shared" si="19"/>
        <v>0</v>
      </c>
      <c r="S183" s="28"/>
      <c r="T183" s="39"/>
      <c r="U183" s="39"/>
      <c r="V183" s="39"/>
      <c r="W183" s="39"/>
      <c r="X183" s="39"/>
    </row>
    <row r="184" spans="1:24" ht="28.5" hidden="1" customHeight="1" x14ac:dyDescent="0.25">
      <c r="A184" s="512"/>
      <c r="B184" s="5"/>
      <c r="C184" s="4"/>
      <c r="D184" s="5"/>
      <c r="E184" s="26"/>
      <c r="F184" s="26"/>
      <c r="G184" s="26"/>
      <c r="H184" s="26"/>
      <c r="I184" s="26"/>
      <c r="J184" s="26"/>
      <c r="K184" s="26"/>
      <c r="L184" s="515" t="s">
        <v>59</v>
      </c>
      <c r="M184" s="516"/>
      <c r="N184" s="39">
        <f>SUM(N185:N188)</f>
        <v>67.517690000000002</v>
      </c>
      <c r="O184" s="39">
        <f>SUM(O185:O188)</f>
        <v>65.017690000000002</v>
      </c>
      <c r="P184" s="39">
        <f>SUM(P185:P188)</f>
        <v>65.017690000000002</v>
      </c>
      <c r="Q184" s="39">
        <f>SUM(Q185:Q188)</f>
        <v>65.017690000000002</v>
      </c>
      <c r="R184" s="39">
        <f>SUM(R185:R188)</f>
        <v>262.57076000000001</v>
      </c>
      <c r="S184" s="28"/>
      <c r="T184" s="39"/>
      <c r="U184" s="39"/>
      <c r="V184" s="39"/>
      <c r="W184" s="39"/>
      <c r="X184" s="39"/>
    </row>
    <row r="185" spans="1:24" s="57" customFormat="1" ht="45" hidden="1" customHeight="1" x14ac:dyDescent="0.25">
      <c r="A185" s="512"/>
      <c r="B185" s="58"/>
      <c r="C185" s="59"/>
      <c r="D185" s="58"/>
      <c r="E185" s="60"/>
      <c r="F185" s="60"/>
      <c r="G185" s="60"/>
      <c r="H185" s="60"/>
      <c r="I185" s="60"/>
      <c r="J185" s="60"/>
      <c r="K185" s="60"/>
      <c r="L185" s="60"/>
      <c r="M185" s="59" t="s">
        <v>416</v>
      </c>
      <c r="N185" s="61">
        <f>5.89323*3</f>
        <v>17.679690000000001</v>
      </c>
      <c r="O185" s="61">
        <f>5.89323*3</f>
        <v>17.679690000000001</v>
      </c>
      <c r="P185" s="61">
        <f>5.89323*3</f>
        <v>17.679690000000001</v>
      </c>
      <c r="Q185" s="61">
        <f>5.89323*3</f>
        <v>17.679690000000001</v>
      </c>
      <c r="R185" s="61">
        <f t="shared" ref="R185:R191" si="20">SUM(N185:Q185)</f>
        <v>70.718760000000003</v>
      </c>
      <c r="S185" s="62"/>
      <c r="T185" s="61"/>
      <c r="U185" s="61"/>
      <c r="V185" s="61"/>
      <c r="W185" s="61"/>
      <c r="X185" s="61"/>
    </row>
    <row r="186" spans="1:24" s="57" customFormat="1" ht="36" hidden="1" customHeight="1" x14ac:dyDescent="0.25">
      <c r="A186" s="512"/>
      <c r="B186" s="58"/>
      <c r="C186" s="59"/>
      <c r="D186" s="58"/>
      <c r="E186" s="60"/>
      <c r="F186" s="60"/>
      <c r="G186" s="60"/>
      <c r="H186" s="60"/>
      <c r="I186" s="60"/>
      <c r="J186" s="60"/>
      <c r="K186" s="60"/>
      <c r="L186" s="60"/>
      <c r="M186" s="59" t="s">
        <v>417</v>
      </c>
      <c r="N186" s="61">
        <f>(5.208+8.288)*3</f>
        <v>40.488</v>
      </c>
      <c r="O186" s="61">
        <f>(5.208+8.288)*3</f>
        <v>40.488</v>
      </c>
      <c r="P186" s="61">
        <f>(5.208+8.288)*3</f>
        <v>40.488</v>
      </c>
      <c r="Q186" s="61">
        <f>(5.208+8.288)*3</f>
        <v>40.488</v>
      </c>
      <c r="R186" s="61">
        <f t="shared" si="20"/>
        <v>161.952</v>
      </c>
      <c r="S186" s="62"/>
      <c r="T186" s="61"/>
      <c r="U186" s="61"/>
      <c r="V186" s="61"/>
      <c r="W186" s="61"/>
      <c r="X186" s="61"/>
    </row>
    <row r="187" spans="1:24" s="57" customFormat="1" ht="30.75" hidden="1" customHeight="1" x14ac:dyDescent="0.25">
      <c r="A187" s="512"/>
      <c r="B187" s="58"/>
      <c r="C187" s="59"/>
      <c r="D187" s="58"/>
      <c r="E187" s="60"/>
      <c r="F187" s="60"/>
      <c r="G187" s="60"/>
      <c r="H187" s="60"/>
      <c r="I187" s="60"/>
      <c r="J187" s="60"/>
      <c r="K187" s="60"/>
      <c r="L187" s="60"/>
      <c r="M187" s="59" t="s">
        <v>418</v>
      </c>
      <c r="N187" s="61">
        <v>2.5</v>
      </c>
      <c r="O187" s="61">
        <v>0</v>
      </c>
      <c r="P187" s="61">
        <v>0</v>
      </c>
      <c r="Q187" s="61">
        <v>0</v>
      </c>
      <c r="R187" s="61">
        <f t="shared" si="20"/>
        <v>2.5</v>
      </c>
      <c r="S187" s="62"/>
      <c r="T187" s="61"/>
      <c r="U187" s="61"/>
      <c r="V187" s="61"/>
      <c r="W187" s="61"/>
      <c r="X187" s="61"/>
    </row>
    <row r="188" spans="1:24" s="57" customFormat="1" ht="28.5" hidden="1" customHeight="1" x14ac:dyDescent="0.25">
      <c r="A188" s="512"/>
      <c r="B188" s="58"/>
      <c r="C188" s="59"/>
      <c r="D188" s="58"/>
      <c r="E188" s="60"/>
      <c r="F188" s="60"/>
      <c r="G188" s="60"/>
      <c r="H188" s="60"/>
      <c r="I188" s="60"/>
      <c r="J188" s="60"/>
      <c r="K188" s="60"/>
      <c r="L188" s="60"/>
      <c r="M188" s="59" t="s">
        <v>419</v>
      </c>
      <c r="N188" s="61">
        <f>4.95+1.9</f>
        <v>6.85</v>
      </c>
      <c r="O188" s="61">
        <f>4.95+1.9</f>
        <v>6.85</v>
      </c>
      <c r="P188" s="61">
        <f>4.95+1.9</f>
        <v>6.85</v>
      </c>
      <c r="Q188" s="61">
        <f>4.95+1.9</f>
        <v>6.85</v>
      </c>
      <c r="R188" s="61">
        <f t="shared" si="20"/>
        <v>27.4</v>
      </c>
      <c r="S188" s="62"/>
      <c r="T188" s="61"/>
      <c r="U188" s="61"/>
      <c r="V188" s="61"/>
      <c r="W188" s="61"/>
      <c r="X188" s="61"/>
    </row>
    <row r="189" spans="1:24" ht="28.5" hidden="1" customHeight="1" x14ac:dyDescent="0.25">
      <c r="A189" s="512"/>
      <c r="B189" s="5"/>
      <c r="C189" s="4"/>
      <c r="D189" s="5"/>
      <c r="E189" s="26"/>
      <c r="F189" s="26"/>
      <c r="G189" s="26"/>
      <c r="H189" s="26"/>
      <c r="I189" s="26"/>
      <c r="J189" s="26"/>
      <c r="K189" s="26"/>
      <c r="L189" s="515" t="s">
        <v>336</v>
      </c>
      <c r="M189" s="516"/>
      <c r="N189" s="39">
        <f>SUM(N190:N191)</f>
        <v>23.631360000000001</v>
      </c>
      <c r="O189" s="39">
        <f>SUM(O190:O191)</f>
        <v>23.631360000000001</v>
      </c>
      <c r="P189" s="39">
        <f>SUM(P190:P191)</f>
        <v>23.631360000000001</v>
      </c>
      <c r="Q189" s="39">
        <f>SUM(Q190:Q191)</f>
        <v>23.631360000000001</v>
      </c>
      <c r="R189" s="39">
        <f t="shared" si="20"/>
        <v>94.525440000000003</v>
      </c>
      <c r="S189" s="28"/>
      <c r="T189" s="39"/>
      <c r="U189" s="39"/>
      <c r="V189" s="39"/>
      <c r="W189" s="39"/>
      <c r="X189" s="39"/>
    </row>
    <row r="190" spans="1:24" s="63" customFormat="1" ht="18" hidden="1" customHeight="1" x14ac:dyDescent="0.25">
      <c r="A190" s="512"/>
      <c r="B190" s="64"/>
      <c r="C190" s="65"/>
      <c r="D190" s="64"/>
      <c r="E190" s="66"/>
      <c r="F190" s="66"/>
      <c r="G190" s="66"/>
      <c r="H190" s="66"/>
      <c r="I190" s="66"/>
      <c r="J190" s="66"/>
      <c r="K190" s="66"/>
      <c r="L190" s="66"/>
      <c r="M190" s="67" t="s">
        <v>420</v>
      </c>
      <c r="N190" s="68">
        <v>0.75</v>
      </c>
      <c r="O190" s="68">
        <v>0.75</v>
      </c>
      <c r="P190" s="68">
        <v>0.75</v>
      </c>
      <c r="Q190" s="68">
        <v>0.75</v>
      </c>
      <c r="R190" s="68">
        <f t="shared" si="20"/>
        <v>3</v>
      </c>
      <c r="S190" s="69"/>
      <c r="T190" s="68"/>
      <c r="U190" s="68"/>
      <c r="V190" s="68"/>
      <c r="W190" s="68"/>
      <c r="X190" s="68"/>
    </row>
    <row r="191" spans="1:24" ht="55.5" hidden="1" customHeight="1" x14ac:dyDescent="0.25">
      <c r="A191" s="512"/>
      <c r="B191" s="5"/>
      <c r="C191" s="4"/>
      <c r="D191" s="5"/>
      <c r="E191" s="26"/>
      <c r="F191" s="26"/>
      <c r="G191" s="26"/>
      <c r="H191" s="26"/>
      <c r="I191" s="26" t="s">
        <v>326</v>
      </c>
      <c r="J191" s="26"/>
      <c r="K191" s="26"/>
      <c r="L191" s="26"/>
      <c r="M191" s="59" t="s">
        <v>421</v>
      </c>
      <c r="N191" s="39">
        <f>7.62712*3</f>
        <v>22.881360000000001</v>
      </c>
      <c r="O191" s="39">
        <f>7.62712*3</f>
        <v>22.881360000000001</v>
      </c>
      <c r="P191" s="39">
        <f>7.62712*3</f>
        <v>22.881360000000001</v>
      </c>
      <c r="Q191" s="39">
        <f>7.62712*3</f>
        <v>22.881360000000001</v>
      </c>
      <c r="R191" s="39">
        <f t="shared" si="20"/>
        <v>91.525440000000003</v>
      </c>
      <c r="S191" s="28"/>
      <c r="T191" s="39"/>
      <c r="U191" s="39"/>
      <c r="V191" s="39"/>
      <c r="W191" s="39"/>
      <c r="X191" s="39"/>
    </row>
    <row r="192" spans="1:24" ht="66" hidden="1" customHeight="1" x14ac:dyDescent="0.25">
      <c r="A192" s="512"/>
      <c r="B192" s="5"/>
      <c r="C192" s="4"/>
      <c r="D192" s="5"/>
      <c r="E192" s="26"/>
      <c r="F192" s="26"/>
      <c r="G192" s="26"/>
      <c r="H192" s="26"/>
      <c r="I192" s="26"/>
      <c r="J192" s="26"/>
      <c r="K192" s="26"/>
      <c r="L192" s="26"/>
      <c r="M192" s="70" t="s">
        <v>422</v>
      </c>
      <c r="N192" s="39"/>
      <c r="O192" s="39"/>
      <c r="P192" s="39"/>
      <c r="Q192" s="39"/>
      <c r="R192" s="39"/>
      <c r="S192" s="28"/>
      <c r="T192" s="39"/>
      <c r="U192" s="39"/>
      <c r="V192" s="39"/>
      <c r="W192" s="39"/>
      <c r="X192" s="39"/>
    </row>
    <row r="193" spans="1:24" ht="22.5" hidden="1" customHeight="1" x14ac:dyDescent="0.25">
      <c r="A193" s="512"/>
      <c r="B193" s="5"/>
      <c r="C193" s="4"/>
      <c r="D193" s="5"/>
      <c r="E193" s="26"/>
      <c r="F193" s="26"/>
      <c r="G193" s="26"/>
      <c r="H193" s="26"/>
      <c r="I193" s="26"/>
      <c r="J193" s="26"/>
      <c r="K193" s="26"/>
      <c r="L193" s="515" t="s">
        <v>298</v>
      </c>
      <c r="M193" s="516"/>
      <c r="N193" s="39">
        <f>SUM(N194:N195)</f>
        <v>6</v>
      </c>
      <c r="O193" s="39">
        <f>SUM(O194:O195)</f>
        <v>14.8</v>
      </c>
      <c r="P193" s="39">
        <f>SUM(P194:P195)</f>
        <v>14.8</v>
      </c>
      <c r="Q193" s="39">
        <f>SUM(Q194:Q195)</f>
        <v>13</v>
      </c>
      <c r="R193" s="39">
        <f>SUM(R194:R195)</f>
        <v>48.6</v>
      </c>
      <c r="S193" s="28"/>
      <c r="T193" s="39"/>
      <c r="U193" s="39"/>
      <c r="V193" s="39"/>
      <c r="W193" s="39"/>
      <c r="X193" s="39"/>
    </row>
    <row r="194" spans="1:24" s="57" customFormat="1" ht="28.5" hidden="1" customHeight="1" x14ac:dyDescent="0.25">
      <c r="A194" s="512"/>
      <c r="B194" s="58"/>
      <c r="C194" s="59"/>
      <c r="D194" s="58"/>
      <c r="E194" s="60"/>
      <c r="F194" s="60"/>
      <c r="G194" s="60"/>
      <c r="H194" s="60"/>
      <c r="I194" s="60"/>
      <c r="J194" s="60"/>
      <c r="K194" s="60"/>
      <c r="L194" s="60"/>
      <c r="M194" s="71" t="s">
        <v>423</v>
      </c>
      <c r="N194" s="61">
        <v>6</v>
      </c>
      <c r="O194" s="61">
        <v>13</v>
      </c>
      <c r="P194" s="61">
        <v>13</v>
      </c>
      <c r="Q194" s="61">
        <v>13</v>
      </c>
      <c r="R194" s="61">
        <f t="shared" ref="R194:R199" si="21">SUM(N194:Q194)</f>
        <v>45</v>
      </c>
      <c r="S194" s="62"/>
      <c r="T194" s="61"/>
      <c r="U194" s="61"/>
      <c r="V194" s="61"/>
      <c r="W194" s="61"/>
      <c r="X194" s="61"/>
    </row>
    <row r="195" spans="1:24" s="57" customFormat="1" ht="28.5" hidden="1" customHeight="1" x14ac:dyDescent="0.25">
      <c r="A195" s="512"/>
      <c r="B195" s="58"/>
      <c r="C195" s="59"/>
      <c r="D195" s="58"/>
      <c r="E195" s="60"/>
      <c r="F195" s="60"/>
      <c r="G195" s="60"/>
      <c r="H195" s="60"/>
      <c r="I195" s="60"/>
      <c r="J195" s="60"/>
      <c r="K195" s="60"/>
      <c r="L195" s="60"/>
      <c r="M195" s="72" t="s">
        <v>424</v>
      </c>
      <c r="N195" s="61">
        <v>0</v>
      </c>
      <c r="O195" s="61">
        <f>0.6*3</f>
        <v>1.7999999999999998</v>
      </c>
      <c r="P195" s="61">
        <f>0.6*3</f>
        <v>1.7999999999999998</v>
      </c>
      <c r="Q195" s="61">
        <v>0</v>
      </c>
      <c r="R195" s="61">
        <f t="shared" si="21"/>
        <v>3.5999999999999996</v>
      </c>
      <c r="S195" s="62"/>
      <c r="T195" s="61"/>
      <c r="U195" s="61"/>
      <c r="V195" s="61"/>
      <c r="W195" s="61"/>
      <c r="X195" s="61"/>
    </row>
    <row r="196" spans="1:24" ht="25.5" x14ac:dyDescent="0.25">
      <c r="A196" s="512"/>
      <c r="B196" s="5" t="s">
        <v>78</v>
      </c>
      <c r="C196" s="22" t="s">
        <v>134</v>
      </c>
      <c r="D196" s="5" t="s">
        <v>243</v>
      </c>
      <c r="E196" s="20">
        <f>N196</f>
        <v>100</v>
      </c>
      <c r="F196" s="20">
        <f>O196</f>
        <v>2700</v>
      </c>
      <c r="G196" s="20">
        <f>P196</f>
        <v>500</v>
      </c>
      <c r="H196" s="20">
        <f>Q196</f>
        <v>300</v>
      </c>
      <c r="I196" s="26">
        <f>SUM(E196:H196)</f>
        <v>3600</v>
      </c>
      <c r="J196" s="26">
        <v>800</v>
      </c>
      <c r="K196" s="26">
        <v>800</v>
      </c>
      <c r="L196" s="5" t="s">
        <v>78</v>
      </c>
      <c r="M196" s="8" t="s">
        <v>134</v>
      </c>
      <c r="N196" s="39">
        <f>N197+N200</f>
        <v>100</v>
      </c>
      <c r="O196" s="39">
        <f>O197+O200</f>
        <v>2700</v>
      </c>
      <c r="P196" s="39">
        <f>P197+P200</f>
        <v>500</v>
      </c>
      <c r="Q196" s="39">
        <f>Q197+Q200</f>
        <v>300</v>
      </c>
      <c r="R196" s="39">
        <f t="shared" si="21"/>
        <v>3600</v>
      </c>
      <c r="S196" s="28"/>
      <c r="T196" s="39"/>
      <c r="U196" s="39"/>
      <c r="V196" s="39"/>
      <c r="W196" s="39"/>
      <c r="X196" s="39"/>
    </row>
    <row r="197" spans="1:24" ht="18" hidden="1" customHeight="1" x14ac:dyDescent="0.25">
      <c r="A197" s="512"/>
      <c r="B197" s="5"/>
      <c r="C197" s="22"/>
      <c r="D197" s="5"/>
      <c r="E197" s="20"/>
      <c r="F197" s="20"/>
      <c r="G197" s="20"/>
      <c r="H197" s="20"/>
      <c r="I197" s="26"/>
      <c r="J197" s="26"/>
      <c r="K197" s="26"/>
      <c r="L197" s="515" t="s">
        <v>13</v>
      </c>
      <c r="M197" s="516"/>
      <c r="N197" s="39">
        <f>SUM(N198:N199)</f>
        <v>100</v>
      </c>
      <c r="O197" s="39">
        <f>SUM(O198:O199)</f>
        <v>2700</v>
      </c>
      <c r="P197" s="39">
        <f>SUM(P198:P199)</f>
        <v>500</v>
      </c>
      <c r="Q197" s="39">
        <f>SUM(Q198:Q199)</f>
        <v>300</v>
      </c>
      <c r="R197" s="39">
        <f t="shared" si="21"/>
        <v>3600</v>
      </c>
      <c r="S197" s="28"/>
      <c r="T197" s="39"/>
      <c r="U197" s="39"/>
      <c r="V197" s="39"/>
      <c r="W197" s="39"/>
      <c r="X197" s="39"/>
    </row>
    <row r="198" spans="1:24" ht="28.5" hidden="1" customHeight="1" x14ac:dyDescent="0.25">
      <c r="A198" s="512"/>
      <c r="B198" s="5"/>
      <c r="C198" s="22"/>
      <c r="D198" s="5"/>
      <c r="E198" s="20"/>
      <c r="F198" s="20"/>
      <c r="G198" s="20"/>
      <c r="H198" s="20"/>
      <c r="I198" s="26"/>
      <c r="J198" s="26"/>
      <c r="K198" s="26"/>
      <c r="L198" s="26"/>
      <c r="M198" s="8" t="s">
        <v>425</v>
      </c>
      <c r="N198" s="39">
        <v>100</v>
      </c>
      <c r="O198" s="39">
        <v>200</v>
      </c>
      <c r="P198" s="39">
        <v>500</v>
      </c>
      <c r="Q198" s="39">
        <v>300</v>
      </c>
      <c r="R198" s="39">
        <f t="shared" si="21"/>
        <v>1100</v>
      </c>
      <c r="S198" s="28"/>
      <c r="T198" s="39">
        <f>N198*20%</f>
        <v>20</v>
      </c>
      <c r="U198" s="39">
        <f>O198*20%</f>
        <v>40</v>
      </c>
      <c r="V198" s="39"/>
      <c r="W198" s="39"/>
      <c r="X198" s="39">
        <f>SUM(N198:Q198)</f>
        <v>1100</v>
      </c>
    </row>
    <row r="199" spans="1:24" ht="30.75" hidden="1" customHeight="1" x14ac:dyDescent="0.25">
      <c r="A199" s="512"/>
      <c r="B199" s="5"/>
      <c r="C199" s="22"/>
      <c r="D199" s="5"/>
      <c r="E199" s="20"/>
      <c r="F199" s="20"/>
      <c r="G199" s="20"/>
      <c r="H199" s="20"/>
      <c r="I199" s="26"/>
      <c r="J199" s="26"/>
      <c r="K199" s="26"/>
      <c r="L199" s="26"/>
      <c r="M199" s="8" t="s">
        <v>426</v>
      </c>
      <c r="N199" s="39"/>
      <c r="O199" s="39">
        <v>2500</v>
      </c>
      <c r="P199" s="39"/>
      <c r="Q199" s="39"/>
      <c r="R199" s="39">
        <f t="shared" si="21"/>
        <v>2500</v>
      </c>
      <c r="S199" s="28"/>
      <c r="T199" s="39"/>
      <c r="U199" s="39">
        <f>O199*20%</f>
        <v>500</v>
      </c>
      <c r="V199" s="39"/>
      <c r="W199" s="39"/>
      <c r="X199" s="39">
        <f>SUM(N199:Q199)</f>
        <v>2500</v>
      </c>
    </row>
    <row r="200" spans="1:24" ht="18" hidden="1" customHeight="1" x14ac:dyDescent="0.25">
      <c r="A200" s="512"/>
      <c r="B200" s="5"/>
      <c r="C200" s="22"/>
      <c r="D200" s="5"/>
      <c r="E200" s="20"/>
      <c r="F200" s="20"/>
      <c r="G200" s="20"/>
      <c r="H200" s="20"/>
      <c r="I200" s="26"/>
      <c r="J200" s="26"/>
      <c r="K200" s="26"/>
      <c r="L200" s="522" t="s">
        <v>336</v>
      </c>
      <c r="M200" s="523"/>
      <c r="N200" s="39"/>
      <c r="O200" s="39"/>
      <c r="P200" s="39"/>
      <c r="Q200" s="39"/>
      <c r="R200" s="39"/>
      <c r="S200" s="28"/>
      <c r="T200" s="39"/>
      <c r="U200" s="39"/>
      <c r="V200" s="39"/>
      <c r="W200" s="39"/>
      <c r="X200" s="39"/>
    </row>
    <row r="201" spans="1:24" ht="18" hidden="1" customHeight="1" x14ac:dyDescent="0.25">
      <c r="A201" s="512"/>
      <c r="B201" s="5"/>
      <c r="C201" s="22"/>
      <c r="D201" s="5"/>
      <c r="E201" s="20"/>
      <c r="F201" s="20"/>
      <c r="G201" s="20"/>
      <c r="H201" s="20"/>
      <c r="I201" s="26"/>
      <c r="J201" s="26"/>
      <c r="K201" s="26"/>
      <c r="L201" s="26"/>
      <c r="M201" s="22" t="s">
        <v>427</v>
      </c>
      <c r="N201" s="39"/>
      <c r="O201" s="39"/>
      <c r="P201" s="39"/>
      <c r="Q201" s="39"/>
      <c r="R201" s="39"/>
      <c r="S201" s="28"/>
      <c r="T201" s="39"/>
      <c r="U201" s="39"/>
      <c r="V201" s="39"/>
      <c r="W201" s="39"/>
      <c r="X201" s="39"/>
    </row>
    <row r="202" spans="1:24" ht="18" hidden="1" customHeight="1" x14ac:dyDescent="0.25">
      <c r="A202" s="512"/>
      <c r="B202" s="5"/>
      <c r="C202" s="22"/>
      <c r="D202" s="5"/>
      <c r="E202" s="20"/>
      <c r="F202" s="20"/>
      <c r="G202" s="20"/>
      <c r="H202" s="20"/>
      <c r="I202" s="26"/>
      <c r="J202" s="26"/>
      <c r="K202" s="26"/>
      <c r="L202" s="26"/>
      <c r="M202" s="22"/>
      <c r="N202" s="39"/>
      <c r="O202" s="39"/>
      <c r="P202" s="39"/>
      <c r="Q202" s="39"/>
      <c r="R202" s="39"/>
      <c r="S202" s="28"/>
      <c r="T202" s="39"/>
      <c r="U202" s="39"/>
      <c r="V202" s="39"/>
      <c r="W202" s="39"/>
      <c r="X202" s="39"/>
    </row>
    <row r="203" spans="1:24" ht="18" hidden="1" customHeight="1" x14ac:dyDescent="0.25">
      <c r="A203" s="512"/>
      <c r="B203" s="5"/>
      <c r="C203" s="22"/>
      <c r="D203" s="5"/>
      <c r="E203" s="20"/>
      <c r="F203" s="20"/>
      <c r="G203" s="20"/>
      <c r="H203" s="20"/>
      <c r="I203" s="26"/>
      <c r="J203" s="26"/>
      <c r="K203" s="26"/>
      <c r="L203" s="26"/>
      <c r="M203" s="22"/>
      <c r="N203" s="39"/>
      <c r="O203" s="39"/>
      <c r="P203" s="39"/>
      <c r="Q203" s="39"/>
      <c r="R203" s="39"/>
      <c r="S203" s="28"/>
      <c r="T203" s="39"/>
      <c r="U203" s="39"/>
      <c r="V203" s="39"/>
      <c r="W203" s="39"/>
      <c r="X203" s="39"/>
    </row>
    <row r="204" spans="1:24" ht="12.75" x14ac:dyDescent="0.25">
      <c r="A204" s="512"/>
      <c r="B204" s="5" t="s">
        <v>80</v>
      </c>
      <c r="C204" s="22" t="s">
        <v>136</v>
      </c>
      <c r="D204" s="5" t="s">
        <v>243</v>
      </c>
      <c r="E204" s="26">
        <f t="shared" ref="E204:K204" si="22">E205+E209+E211+E212+E217+E221</f>
        <v>0</v>
      </c>
      <c r="F204" s="26">
        <f t="shared" si="22"/>
        <v>1418.155</v>
      </c>
      <c r="G204" s="26">
        <f t="shared" si="22"/>
        <v>2657.645</v>
      </c>
      <c r="H204" s="26">
        <f t="shared" si="22"/>
        <v>0</v>
      </c>
      <c r="I204" s="26">
        <f t="shared" si="22"/>
        <v>4075.81</v>
      </c>
      <c r="J204" s="26">
        <f t="shared" si="22"/>
        <v>4292.6643400000003</v>
      </c>
      <c r="K204" s="26">
        <f t="shared" si="22"/>
        <v>4511.6620972599994</v>
      </c>
      <c r="L204" s="26"/>
      <c r="M204" s="22"/>
      <c r="N204" s="39"/>
      <c r="O204" s="39"/>
      <c r="P204" s="39"/>
      <c r="Q204" s="39"/>
      <c r="R204" s="39"/>
      <c r="S204" s="28"/>
      <c r="T204" s="39"/>
      <c r="U204" s="39"/>
      <c r="V204" s="39"/>
      <c r="W204" s="39"/>
      <c r="X204" s="39"/>
    </row>
    <row r="205" spans="1:24" ht="20.25" customHeight="1" x14ac:dyDescent="0.25">
      <c r="A205" s="512"/>
      <c r="B205" s="5" t="s">
        <v>428</v>
      </c>
      <c r="C205" s="23" t="s">
        <v>138</v>
      </c>
      <c r="D205" s="5" t="s">
        <v>243</v>
      </c>
      <c r="E205" s="26">
        <f>N205</f>
        <v>0</v>
      </c>
      <c r="F205" s="26">
        <f>O205</f>
        <v>1172.25</v>
      </c>
      <c r="G205" s="26">
        <f>P205</f>
        <v>1000</v>
      </c>
      <c r="H205" s="26">
        <f>Q205</f>
        <v>0</v>
      </c>
      <c r="I205" s="26">
        <f>SUM(E205:H205)</f>
        <v>2172.25</v>
      </c>
      <c r="J205" s="26">
        <f>I205*1.058</f>
        <v>2298.2405000000003</v>
      </c>
      <c r="K205" s="26">
        <f>J205*1.055</f>
        <v>2424.6437275000003</v>
      </c>
      <c r="L205" s="5" t="s">
        <v>428</v>
      </c>
      <c r="M205" s="23" t="s">
        <v>138</v>
      </c>
      <c r="N205" s="39">
        <f>N206</f>
        <v>0</v>
      </c>
      <c r="O205" s="39">
        <f>O206</f>
        <v>1172.25</v>
      </c>
      <c r="P205" s="39">
        <f>P206</f>
        <v>1000</v>
      </c>
      <c r="Q205" s="39">
        <f>Q206</f>
        <v>0</v>
      </c>
      <c r="R205" s="39">
        <f>SUM(N205:Q205)</f>
        <v>2172.25</v>
      </c>
      <c r="S205" s="28" t="s">
        <v>429</v>
      </c>
      <c r="T205" s="39"/>
      <c r="U205" s="39"/>
      <c r="V205" s="39"/>
      <c r="W205" s="39"/>
      <c r="X205" s="39"/>
    </row>
    <row r="206" spans="1:24" ht="18" hidden="1" customHeight="1" x14ac:dyDescent="0.25">
      <c r="A206" s="512"/>
      <c r="B206" s="5"/>
      <c r="C206" s="8"/>
      <c r="D206" s="5"/>
      <c r="E206" s="26"/>
      <c r="F206" s="26"/>
      <c r="G206" s="26"/>
      <c r="H206" s="26"/>
      <c r="I206" s="26"/>
      <c r="J206" s="26"/>
      <c r="K206" s="26"/>
      <c r="L206" s="515" t="s">
        <v>13</v>
      </c>
      <c r="M206" s="516"/>
      <c r="N206" s="39">
        <f>SUM(N207:N208)</f>
        <v>0</v>
      </c>
      <c r="O206" s="39">
        <f>SUM(O207:O208)</f>
        <v>1172.25</v>
      </c>
      <c r="P206" s="39">
        <f>SUM(P207:P208)</f>
        <v>1000</v>
      </c>
      <c r="Q206" s="39">
        <f>SUM(Q207:Q208)</f>
        <v>0</v>
      </c>
      <c r="R206" s="39">
        <f>SUM(N206:Q206)</f>
        <v>2172.25</v>
      </c>
      <c r="S206" s="28"/>
      <c r="T206" s="39"/>
      <c r="U206" s="39"/>
      <c r="V206" s="39"/>
      <c r="W206" s="39"/>
      <c r="X206" s="39"/>
    </row>
    <row r="207" spans="1:24" ht="24.75" hidden="1" customHeight="1" x14ac:dyDescent="0.25">
      <c r="A207" s="512"/>
      <c r="B207" s="5"/>
      <c r="D207" s="5"/>
      <c r="E207" s="26"/>
      <c r="F207" s="26"/>
      <c r="G207" s="26"/>
      <c r="H207" s="26"/>
      <c r="I207" s="26"/>
      <c r="J207" s="26"/>
      <c r="K207" s="26"/>
      <c r="L207" s="26"/>
      <c r="M207" s="73" t="s">
        <v>430</v>
      </c>
      <c r="N207" s="39"/>
      <c r="O207" s="39">
        <f>1563*750/1000</f>
        <v>1172.25</v>
      </c>
      <c r="P207" s="39"/>
      <c r="Q207" s="39"/>
      <c r="R207" s="39">
        <f>SUM(N207:Q207)</f>
        <v>1172.25</v>
      </c>
      <c r="S207" s="28"/>
      <c r="T207" s="39"/>
      <c r="U207" s="39"/>
      <c r="V207" s="39"/>
      <c r="W207" s="39"/>
      <c r="X207" s="39"/>
    </row>
    <row r="208" spans="1:24" ht="18" hidden="1" customHeight="1" x14ac:dyDescent="0.25">
      <c r="A208" s="512"/>
      <c r="B208" s="5"/>
      <c r="C208" s="23"/>
      <c r="D208" s="5"/>
      <c r="E208" s="26"/>
      <c r="F208" s="26"/>
      <c r="G208" s="26"/>
      <c r="H208" s="26"/>
      <c r="I208" s="26"/>
      <c r="J208" s="26"/>
      <c r="K208" s="26"/>
      <c r="L208" s="26"/>
      <c r="M208" s="22" t="s">
        <v>431</v>
      </c>
      <c r="N208" s="39"/>
      <c r="O208" s="39" t="s">
        <v>326</v>
      </c>
      <c r="P208" s="39">
        <v>1000</v>
      </c>
      <c r="Q208" s="39"/>
      <c r="R208" s="39"/>
      <c r="S208" s="28"/>
      <c r="T208" s="39"/>
      <c r="U208" s="39"/>
      <c r="V208" s="39"/>
      <c r="W208" s="39"/>
      <c r="X208" s="39"/>
    </row>
    <row r="209" spans="1:24" ht="63.75" x14ac:dyDescent="0.25">
      <c r="A209" s="512"/>
      <c r="B209" s="5" t="s">
        <v>432</v>
      </c>
      <c r="C209" s="23" t="s">
        <v>140</v>
      </c>
      <c r="D209" s="5" t="s">
        <v>243</v>
      </c>
      <c r="E209" s="26">
        <f>N209</f>
        <v>0</v>
      </c>
      <c r="F209" s="26">
        <f>O209</f>
        <v>0</v>
      </c>
      <c r="G209" s="26">
        <f>P209</f>
        <v>875</v>
      </c>
      <c r="H209" s="26">
        <f>Q209</f>
        <v>0</v>
      </c>
      <c r="I209" s="26">
        <f>SUM(E209:H209)</f>
        <v>875</v>
      </c>
      <c r="J209" s="26">
        <f>I209*1.058</f>
        <v>925.75</v>
      </c>
      <c r="K209" s="26">
        <f>J209*1.055</f>
        <v>976.66624999999999</v>
      </c>
      <c r="L209" s="5" t="s">
        <v>432</v>
      </c>
      <c r="M209" s="23" t="s">
        <v>140</v>
      </c>
      <c r="N209" s="39">
        <f>N210</f>
        <v>0</v>
      </c>
      <c r="O209" s="39">
        <f>O210</f>
        <v>0</v>
      </c>
      <c r="P209" s="39">
        <f>P210</f>
        <v>875</v>
      </c>
      <c r="Q209" s="39">
        <f>Q210</f>
        <v>0</v>
      </c>
      <c r="R209" s="39">
        <f>SUM(N209:Q209)</f>
        <v>875</v>
      </c>
      <c r="S209" s="28" t="s">
        <v>429</v>
      </c>
      <c r="T209" s="39"/>
      <c r="U209" s="39"/>
      <c r="V209" s="39"/>
      <c r="W209" s="39"/>
      <c r="X209" s="39"/>
    </row>
    <row r="210" spans="1:24" ht="38.25" hidden="1" customHeight="1" x14ac:dyDescent="0.25">
      <c r="A210" s="512"/>
      <c r="B210" s="5"/>
      <c r="C210" s="23"/>
      <c r="D210" s="5"/>
      <c r="E210" s="26"/>
      <c r="F210" s="26"/>
      <c r="G210" s="26"/>
      <c r="H210" s="26"/>
      <c r="I210" s="26"/>
      <c r="J210" s="26"/>
      <c r="K210" s="26"/>
      <c r="L210" s="5"/>
      <c r="M210" s="23" t="s">
        <v>433</v>
      </c>
      <c r="N210" s="39"/>
      <c r="O210" s="39"/>
      <c r="P210" s="39">
        <f>500*1.75</f>
        <v>875</v>
      </c>
      <c r="Q210" s="39"/>
      <c r="R210" s="39">
        <f>SUM(N210:Q210)</f>
        <v>875</v>
      </c>
      <c r="S210" s="28"/>
      <c r="T210" s="39"/>
      <c r="U210" s="39"/>
      <c r="V210" s="39"/>
      <c r="W210" s="39"/>
      <c r="X210" s="39"/>
    </row>
    <row r="211" spans="1:24" ht="12.75" x14ac:dyDescent="0.25">
      <c r="A211" s="512"/>
      <c r="B211" s="5" t="s">
        <v>434</v>
      </c>
      <c r="C211" s="23" t="s">
        <v>142</v>
      </c>
      <c r="D211" s="5" t="s">
        <v>243</v>
      </c>
      <c r="E211" s="26">
        <v>0</v>
      </c>
      <c r="F211" s="26">
        <v>0</v>
      </c>
      <c r="G211" s="26">
        <v>0</v>
      </c>
      <c r="H211" s="26">
        <v>0</v>
      </c>
      <c r="I211" s="26">
        <v>0</v>
      </c>
      <c r="J211" s="26">
        <v>0</v>
      </c>
      <c r="K211" s="26">
        <v>0</v>
      </c>
      <c r="L211" s="26"/>
      <c r="M211" s="22"/>
      <c r="N211" s="39"/>
      <c r="O211" s="39"/>
      <c r="P211" s="39"/>
      <c r="Q211" s="39"/>
      <c r="R211" s="39"/>
      <c r="S211" s="28"/>
      <c r="T211" s="39"/>
      <c r="U211" s="39"/>
      <c r="V211" s="39"/>
      <c r="W211" s="39"/>
      <c r="X211" s="39"/>
    </row>
    <row r="212" spans="1:24" ht="15.75" customHeight="1" x14ac:dyDescent="0.25">
      <c r="A212" s="512"/>
      <c r="B212" s="5" t="s">
        <v>435</v>
      </c>
      <c r="C212" s="23" t="s">
        <v>144</v>
      </c>
      <c r="D212" s="5" t="s">
        <v>243</v>
      </c>
      <c r="E212" s="26">
        <f>N212</f>
        <v>0</v>
      </c>
      <c r="F212" s="26">
        <f>O212</f>
        <v>0</v>
      </c>
      <c r="G212" s="26">
        <f>P212</f>
        <v>400</v>
      </c>
      <c r="H212" s="26">
        <f>Q212</f>
        <v>0</v>
      </c>
      <c r="I212" s="26">
        <f>SUM(E212:H212)</f>
        <v>400</v>
      </c>
      <c r="J212" s="26">
        <f>I212*1.039</f>
        <v>415.59999999999997</v>
      </c>
      <c r="K212" s="26">
        <f>J212*1.039</f>
        <v>431.80839999999995</v>
      </c>
      <c r="L212" s="5" t="s">
        <v>435</v>
      </c>
      <c r="M212" s="23" t="s">
        <v>144</v>
      </c>
      <c r="N212" s="39">
        <f>N213</f>
        <v>0</v>
      </c>
      <c r="O212" s="39">
        <f>O213</f>
        <v>0</v>
      </c>
      <c r="P212" s="39">
        <f>P213</f>
        <v>400</v>
      </c>
      <c r="Q212" s="39">
        <f>Q213</f>
        <v>0</v>
      </c>
      <c r="R212" s="39">
        <f>SUM(N212:Q212)</f>
        <v>400</v>
      </c>
      <c r="S212" s="28" t="s">
        <v>245</v>
      </c>
      <c r="T212" s="39"/>
      <c r="U212" s="39"/>
      <c r="V212" s="39"/>
      <c r="W212" s="39"/>
      <c r="X212" s="39"/>
    </row>
    <row r="213" spans="1:24" ht="17.25" hidden="1" customHeight="1" x14ac:dyDescent="0.25">
      <c r="A213" s="512"/>
      <c r="B213" s="5"/>
      <c r="C213" s="23"/>
      <c r="D213" s="5"/>
      <c r="E213" s="26"/>
      <c r="F213" s="26"/>
      <c r="G213" s="26"/>
      <c r="H213" s="26"/>
      <c r="I213" s="26"/>
      <c r="J213" s="26"/>
      <c r="K213" s="26"/>
      <c r="L213" s="515" t="s">
        <v>13</v>
      </c>
      <c r="M213" s="516"/>
      <c r="N213" s="39">
        <f>SUM(N214:N215)</f>
        <v>0</v>
      </c>
      <c r="O213" s="39">
        <f>SUM(O214:O215)</f>
        <v>0</v>
      </c>
      <c r="P213" s="39">
        <f>SUM(P214:P215)</f>
        <v>400</v>
      </c>
      <c r="Q213" s="39">
        <f>SUM(Q214:Q215)</f>
        <v>0</v>
      </c>
      <c r="R213" s="39">
        <f>SUM(N213:Q213)</f>
        <v>400</v>
      </c>
      <c r="S213" s="28"/>
      <c r="T213" s="39"/>
      <c r="U213" s="39"/>
      <c r="V213" s="39"/>
      <c r="W213" s="39"/>
      <c r="X213" s="39"/>
    </row>
    <row r="214" spans="1:24" s="57" customFormat="1" ht="27.75" hidden="1" customHeight="1" x14ac:dyDescent="0.25">
      <c r="A214" s="512"/>
      <c r="B214" s="58"/>
      <c r="C214" s="74"/>
      <c r="D214" s="58"/>
      <c r="E214" s="60"/>
      <c r="F214" s="60"/>
      <c r="G214" s="60"/>
      <c r="H214" s="60"/>
      <c r="I214" s="60"/>
      <c r="J214" s="60"/>
      <c r="K214" s="60"/>
      <c r="L214" s="60"/>
      <c r="M214" s="59" t="s">
        <v>436</v>
      </c>
      <c r="N214" s="61"/>
      <c r="O214" s="61"/>
      <c r="P214" s="61">
        <v>400</v>
      </c>
      <c r="Q214" s="61"/>
      <c r="R214" s="61">
        <f>SUM(N214:Q214)</f>
        <v>400</v>
      </c>
      <c r="S214" s="62"/>
      <c r="T214" s="61"/>
      <c r="U214" s="61"/>
      <c r="V214" s="61"/>
      <c r="W214" s="61"/>
      <c r="X214" s="61"/>
    </row>
    <row r="215" spans="1:24" s="57" customFormat="1" ht="39" hidden="1" customHeight="1" x14ac:dyDescent="0.25">
      <c r="A215" s="512"/>
      <c r="B215" s="58"/>
      <c r="C215" s="74"/>
      <c r="D215" s="58"/>
      <c r="E215" s="60"/>
      <c r="F215" s="60"/>
      <c r="G215" s="60"/>
      <c r="H215" s="60"/>
      <c r="I215" s="60"/>
      <c r="J215" s="60"/>
      <c r="K215" s="60"/>
      <c r="L215" s="60"/>
      <c r="M215" s="59" t="s">
        <v>437</v>
      </c>
      <c r="N215" s="61"/>
      <c r="O215" s="61"/>
      <c r="P215" s="61"/>
      <c r="Q215" s="61"/>
      <c r="R215" s="61"/>
      <c r="S215" s="62"/>
      <c r="T215" s="61"/>
      <c r="U215" s="61"/>
      <c r="V215" s="61"/>
      <c r="W215" s="61"/>
      <c r="X215" s="61"/>
    </row>
    <row r="216" spans="1:24" ht="22.5" hidden="1" customHeight="1" x14ac:dyDescent="0.25">
      <c r="A216" s="512"/>
      <c r="B216" s="5"/>
      <c r="C216" s="23"/>
      <c r="D216" s="5"/>
      <c r="E216" s="26"/>
      <c r="F216" s="26"/>
      <c r="G216" s="26"/>
      <c r="H216" s="26"/>
      <c r="I216" s="26"/>
      <c r="J216" s="26"/>
      <c r="K216" s="26"/>
      <c r="L216" s="26"/>
      <c r="M216" s="4"/>
      <c r="N216" s="39"/>
      <c r="O216" s="39"/>
      <c r="P216" s="39"/>
      <c r="Q216" s="39"/>
      <c r="R216" s="39"/>
      <c r="S216" s="28"/>
      <c r="T216" s="39"/>
      <c r="U216" s="39"/>
      <c r="V216" s="39"/>
      <c r="W216" s="39"/>
      <c r="X216" s="39"/>
    </row>
    <row r="217" spans="1:24" ht="16.5" customHeight="1" x14ac:dyDescent="0.25">
      <c r="A217" s="512"/>
      <c r="B217" s="5" t="s">
        <v>438</v>
      </c>
      <c r="C217" s="23" t="s">
        <v>146</v>
      </c>
      <c r="D217" s="5" t="s">
        <v>243</v>
      </c>
      <c r="E217" s="26">
        <f>N217</f>
        <v>0</v>
      </c>
      <c r="F217" s="26">
        <f>O217</f>
        <v>245.905</v>
      </c>
      <c r="G217" s="26">
        <f>P217</f>
        <v>382.64499999999998</v>
      </c>
      <c r="H217" s="26">
        <f>Q217</f>
        <v>0</v>
      </c>
      <c r="I217" s="26">
        <f>SUM(E217:H217)+0.01</f>
        <v>628.55999999999995</v>
      </c>
      <c r="J217" s="26">
        <f>I217*1.039</f>
        <v>653.0738399999999</v>
      </c>
      <c r="K217" s="26">
        <f>J217*1.039</f>
        <v>678.54371975999982</v>
      </c>
      <c r="L217" s="5" t="s">
        <v>438</v>
      </c>
      <c r="M217" s="23" t="s">
        <v>146</v>
      </c>
      <c r="N217" s="39">
        <f>N218</f>
        <v>0</v>
      </c>
      <c r="O217" s="39">
        <f>O218</f>
        <v>245.905</v>
      </c>
      <c r="P217" s="39">
        <f>P218</f>
        <v>382.64499999999998</v>
      </c>
      <c r="Q217" s="39">
        <f>Q218</f>
        <v>0</v>
      </c>
      <c r="R217" s="39">
        <f>SUM(N217:Q217)</f>
        <v>628.54999999999995</v>
      </c>
      <c r="S217" s="28" t="s">
        <v>245</v>
      </c>
      <c r="T217" s="39"/>
      <c r="U217" s="39"/>
      <c r="V217" s="39"/>
      <c r="W217" s="39"/>
      <c r="X217" s="39"/>
    </row>
    <row r="218" spans="1:24" ht="18" hidden="1" customHeight="1" x14ac:dyDescent="0.25">
      <c r="A218" s="512"/>
      <c r="B218" s="5"/>
      <c r="C218" s="23"/>
      <c r="D218" s="5"/>
      <c r="E218" s="26"/>
      <c r="F218" s="26"/>
      <c r="G218" s="26"/>
      <c r="H218" s="26"/>
      <c r="I218" s="26"/>
      <c r="J218" s="26"/>
      <c r="K218" s="26"/>
      <c r="L218" s="515" t="s">
        <v>13</v>
      </c>
      <c r="M218" s="516"/>
      <c r="N218" s="39">
        <f>SUM(N219:N220)</f>
        <v>0</v>
      </c>
      <c r="O218" s="39">
        <f>SUM(O219:O220)</f>
        <v>245.905</v>
      </c>
      <c r="P218" s="39">
        <f>SUM(P219:P220)</f>
        <v>382.64499999999998</v>
      </c>
      <c r="Q218" s="39">
        <f>SUM(Q219:Q220)</f>
        <v>0</v>
      </c>
      <c r="R218" s="39">
        <f>SUM(N218:Q218)</f>
        <v>628.54999999999995</v>
      </c>
      <c r="S218" s="28"/>
      <c r="T218" s="39"/>
      <c r="U218" s="39"/>
      <c r="V218" s="39"/>
      <c r="W218" s="39"/>
      <c r="X218" s="39"/>
    </row>
    <row r="219" spans="1:24" s="63" customFormat="1" ht="33.75" hidden="1" customHeight="1" x14ac:dyDescent="0.25">
      <c r="A219" s="512"/>
      <c r="B219" s="64"/>
      <c r="C219" s="75"/>
      <c r="D219" s="64"/>
      <c r="E219" s="66"/>
      <c r="F219" s="66"/>
      <c r="G219" s="66"/>
      <c r="H219" s="66"/>
      <c r="I219" s="66"/>
      <c r="J219" s="66"/>
      <c r="K219" s="66"/>
      <c r="L219" s="66"/>
      <c r="M219" s="65" t="s">
        <v>439</v>
      </c>
      <c r="N219" s="68"/>
      <c r="O219" s="68">
        <f>500*0.49181</f>
        <v>245.905</v>
      </c>
      <c r="P219" s="68">
        <f>500*0.49181</f>
        <v>245.905</v>
      </c>
      <c r="Q219" s="68"/>
      <c r="R219" s="68">
        <f>SUM(N219:Q219)</f>
        <v>491.81</v>
      </c>
      <c r="S219" s="69"/>
      <c r="T219" s="68">
        <f t="shared" ref="T219:W220" si="23">N219*20%</f>
        <v>0</v>
      </c>
      <c r="U219" s="68">
        <f t="shared" si="23"/>
        <v>49.181000000000004</v>
      </c>
      <c r="V219" s="68">
        <f t="shared" si="23"/>
        <v>49.181000000000004</v>
      </c>
      <c r="W219" s="68">
        <f t="shared" si="23"/>
        <v>0</v>
      </c>
      <c r="X219" s="68">
        <f>SUM(T219:W219)</f>
        <v>98.362000000000009</v>
      </c>
    </row>
    <row r="220" spans="1:24" s="63" customFormat="1" ht="29.25" hidden="1" customHeight="1" x14ac:dyDescent="0.25">
      <c r="A220" s="512"/>
      <c r="B220" s="64"/>
      <c r="C220" s="75"/>
      <c r="D220" s="64"/>
      <c r="E220" s="66"/>
      <c r="F220" s="66"/>
      <c r="G220" s="66"/>
      <c r="H220" s="66"/>
      <c r="I220" s="66"/>
      <c r="J220" s="66"/>
      <c r="K220" s="66"/>
      <c r="L220" s="66"/>
      <c r="M220" s="71" t="s">
        <v>440</v>
      </c>
      <c r="N220" s="68"/>
      <c r="O220" s="68"/>
      <c r="P220" s="68">
        <f>250*0.54696</f>
        <v>136.74</v>
      </c>
      <c r="Q220" s="68"/>
      <c r="R220" s="68">
        <f>SUM(N220:Q220)</f>
        <v>136.74</v>
      </c>
      <c r="S220" s="69"/>
      <c r="T220" s="68">
        <f t="shared" si="23"/>
        <v>0</v>
      </c>
      <c r="U220" s="68">
        <f t="shared" si="23"/>
        <v>0</v>
      </c>
      <c r="V220" s="68">
        <f t="shared" si="23"/>
        <v>27.348000000000003</v>
      </c>
      <c r="W220" s="68">
        <f t="shared" si="23"/>
        <v>0</v>
      </c>
      <c r="X220" s="68">
        <f>SUM(T220:W220)</f>
        <v>27.348000000000003</v>
      </c>
    </row>
    <row r="221" spans="1:24" ht="12.75" x14ac:dyDescent="0.25">
      <c r="A221" s="512"/>
      <c r="B221" s="5" t="s">
        <v>441</v>
      </c>
      <c r="C221" s="23" t="s">
        <v>148</v>
      </c>
      <c r="D221" s="5" t="s">
        <v>243</v>
      </c>
      <c r="E221" s="26">
        <v>0</v>
      </c>
      <c r="F221" s="26">
        <v>0</v>
      </c>
      <c r="G221" s="26">
        <v>0</v>
      </c>
      <c r="H221" s="26">
        <v>0</v>
      </c>
      <c r="I221" s="26">
        <f>SUM(E221:H221)</f>
        <v>0</v>
      </c>
      <c r="J221" s="26">
        <f>I221</f>
        <v>0</v>
      </c>
      <c r="K221" s="26">
        <f>J221</f>
        <v>0</v>
      </c>
      <c r="L221" s="26"/>
      <c r="M221" s="22"/>
      <c r="N221" s="39"/>
      <c r="O221" s="39"/>
      <c r="P221" s="39"/>
      <c r="Q221" s="39"/>
      <c r="R221" s="39"/>
      <c r="S221" s="28"/>
      <c r="T221" s="39"/>
      <c r="U221" s="39"/>
      <c r="V221" s="39"/>
      <c r="W221" s="39"/>
      <c r="X221" s="39"/>
    </row>
    <row r="222" spans="1:24" ht="27.75" customHeight="1" x14ac:dyDescent="0.25">
      <c r="A222" s="512"/>
      <c r="B222" s="5" t="s">
        <v>82</v>
      </c>
      <c r="C222" s="25" t="s">
        <v>442</v>
      </c>
      <c r="D222" s="5" t="s">
        <v>243</v>
      </c>
      <c r="E222" s="26">
        <f>N222</f>
        <v>174.86</v>
      </c>
      <c r="F222" s="26">
        <f>O222</f>
        <v>174.86</v>
      </c>
      <c r="G222" s="26">
        <f>P222</f>
        <v>4.8600000000000003</v>
      </c>
      <c r="H222" s="26">
        <f>Q222</f>
        <v>4.8600000000000003</v>
      </c>
      <c r="I222" s="26">
        <f>SUM(E222:H222)</f>
        <v>359.44000000000005</v>
      </c>
      <c r="J222" s="26">
        <f>I222*1.039</f>
        <v>373.45816000000002</v>
      </c>
      <c r="K222" s="26">
        <f>J222*1.039</f>
        <v>388.02302823999997</v>
      </c>
      <c r="L222" s="5" t="s">
        <v>82</v>
      </c>
      <c r="M222" s="25" t="s">
        <v>442</v>
      </c>
      <c r="N222" s="39">
        <f>N223+N225</f>
        <v>174.86</v>
      </c>
      <c r="O222" s="39">
        <f>O223+O225</f>
        <v>174.86</v>
      </c>
      <c r="P222" s="39">
        <f>P223+P225</f>
        <v>4.8600000000000003</v>
      </c>
      <c r="Q222" s="39">
        <f>Q223+Q225</f>
        <v>4.8600000000000003</v>
      </c>
      <c r="R222" s="39">
        <f t="shared" ref="R222:R247" si="24">SUM(N222:Q222)</f>
        <v>359.44000000000005</v>
      </c>
      <c r="S222" s="28" t="s">
        <v>245</v>
      </c>
      <c r="T222" s="39"/>
      <c r="U222" s="39"/>
      <c r="V222" s="39"/>
      <c r="W222" s="39"/>
      <c r="X222" s="39"/>
    </row>
    <row r="223" spans="1:24" ht="27.75" hidden="1" customHeight="1" x14ac:dyDescent="0.25">
      <c r="A223" s="512"/>
      <c r="B223" s="5"/>
      <c r="C223" s="25"/>
      <c r="D223" s="5"/>
      <c r="E223" s="26"/>
      <c r="F223" s="26"/>
      <c r="G223" s="26"/>
      <c r="H223" s="26"/>
      <c r="I223" s="26"/>
      <c r="J223" s="26"/>
      <c r="K223" s="26"/>
      <c r="L223" s="515" t="s">
        <v>298</v>
      </c>
      <c r="M223" s="516"/>
      <c r="N223" s="39">
        <f>N224</f>
        <v>170</v>
      </c>
      <c r="O223" s="39">
        <f>O224</f>
        <v>170</v>
      </c>
      <c r="P223" s="39">
        <f>P224</f>
        <v>0</v>
      </c>
      <c r="Q223" s="39">
        <f>Q224</f>
        <v>0</v>
      </c>
      <c r="R223" s="39">
        <f t="shared" si="24"/>
        <v>340</v>
      </c>
      <c r="S223" s="28"/>
      <c r="T223" s="39"/>
      <c r="U223" s="39"/>
      <c r="V223" s="39"/>
      <c r="W223" s="39"/>
      <c r="X223" s="39"/>
    </row>
    <row r="224" spans="1:24" ht="27.75" hidden="1" customHeight="1" x14ac:dyDescent="0.25">
      <c r="A224" s="512"/>
      <c r="B224" s="5"/>
      <c r="C224" s="25"/>
      <c r="D224" s="5"/>
      <c r="E224" s="26"/>
      <c r="F224" s="26"/>
      <c r="G224" s="26"/>
      <c r="H224" s="26"/>
      <c r="I224" s="26"/>
      <c r="J224" s="26"/>
      <c r="K224" s="26"/>
      <c r="L224" s="26"/>
      <c r="M224" s="22" t="s">
        <v>443</v>
      </c>
      <c r="N224" s="39">
        <v>170</v>
      </c>
      <c r="O224" s="39">
        <v>170</v>
      </c>
      <c r="P224" s="39"/>
      <c r="Q224" s="39"/>
      <c r="R224" s="39">
        <f t="shared" si="24"/>
        <v>340</v>
      </c>
      <c r="S224" s="28"/>
      <c r="T224" s="39"/>
      <c r="U224" s="39"/>
      <c r="V224" s="39"/>
      <c r="W224" s="39"/>
      <c r="X224" s="39"/>
    </row>
    <row r="225" spans="1:24" ht="27.75" hidden="1" customHeight="1" x14ac:dyDescent="0.25">
      <c r="A225" s="512"/>
      <c r="B225" s="5"/>
      <c r="C225" s="25"/>
      <c r="D225" s="5"/>
      <c r="E225" s="26"/>
      <c r="F225" s="26"/>
      <c r="G225" s="26"/>
      <c r="H225" s="26"/>
      <c r="I225" s="26"/>
      <c r="J225" s="26"/>
      <c r="K225" s="26"/>
      <c r="L225" s="515" t="s">
        <v>336</v>
      </c>
      <c r="M225" s="516"/>
      <c r="N225" s="39">
        <f>N226</f>
        <v>4.8600000000000003</v>
      </c>
      <c r="O225" s="39">
        <f>O226</f>
        <v>4.8600000000000003</v>
      </c>
      <c r="P225" s="39">
        <f>P226</f>
        <v>4.8600000000000003</v>
      </c>
      <c r="Q225" s="39">
        <f>Q226</f>
        <v>4.8600000000000003</v>
      </c>
      <c r="R225" s="39">
        <f t="shared" si="24"/>
        <v>19.440000000000001</v>
      </c>
      <c r="S225" s="28"/>
      <c r="T225" s="39"/>
      <c r="U225" s="39"/>
      <c r="V225" s="39"/>
      <c r="W225" s="39"/>
      <c r="X225" s="39"/>
    </row>
    <row r="226" spans="1:24" ht="27.75" hidden="1" customHeight="1" x14ac:dyDescent="0.25">
      <c r="A226" s="512"/>
      <c r="B226" s="5"/>
      <c r="C226" s="25"/>
      <c r="D226" s="5"/>
      <c r="E226" s="26"/>
      <c r="F226" s="26"/>
      <c r="G226" s="26"/>
      <c r="H226" s="26"/>
      <c r="I226" s="26"/>
      <c r="J226" s="26"/>
      <c r="K226" s="26"/>
      <c r="L226" s="32"/>
      <c r="M226" s="13" t="s">
        <v>444</v>
      </c>
      <c r="N226" s="39">
        <f>0.324*5*3</f>
        <v>4.8600000000000003</v>
      </c>
      <c r="O226" s="39">
        <v>4.8600000000000003</v>
      </c>
      <c r="P226" s="39">
        <v>4.8600000000000003</v>
      </c>
      <c r="Q226" s="39">
        <v>4.8600000000000003</v>
      </c>
      <c r="R226" s="39">
        <f t="shared" si="24"/>
        <v>19.440000000000001</v>
      </c>
      <c r="S226" s="28"/>
      <c r="T226" s="39"/>
      <c r="U226" s="39"/>
      <c r="V226" s="39"/>
      <c r="W226" s="39"/>
      <c r="X226" s="39"/>
    </row>
    <row r="227" spans="1:24" ht="25.5" x14ac:dyDescent="0.25">
      <c r="A227" s="512"/>
      <c r="B227" s="5" t="s">
        <v>445</v>
      </c>
      <c r="C227" s="8" t="s">
        <v>185</v>
      </c>
      <c r="D227" s="5" t="s">
        <v>243</v>
      </c>
      <c r="E227" s="26">
        <f>N227</f>
        <v>17.768000000000001</v>
      </c>
      <c r="F227" s="26">
        <f>O227</f>
        <v>143.21600000000001</v>
      </c>
      <c r="G227" s="26">
        <f>P227</f>
        <v>235.90899999999999</v>
      </c>
      <c r="H227" s="26">
        <f>Q227</f>
        <v>14.56</v>
      </c>
      <c r="I227" s="26">
        <f>SUM(E227:H227)+0.01</f>
        <v>411.46300000000002</v>
      </c>
      <c r="J227" s="26">
        <f>(I227-221.125)*1.039</f>
        <v>197.76118200000002</v>
      </c>
      <c r="K227" s="26">
        <f>J227*1.039</f>
        <v>205.473868098</v>
      </c>
      <c r="L227" s="5" t="s">
        <v>445</v>
      </c>
      <c r="M227" s="8" t="s">
        <v>185</v>
      </c>
      <c r="N227" s="39">
        <f>N228+N230+N232</f>
        <v>17.768000000000001</v>
      </c>
      <c r="O227" s="39">
        <f>O228+O230+O232</f>
        <v>143.21600000000001</v>
      </c>
      <c r="P227" s="39">
        <f>P228+P230+P232</f>
        <v>235.90899999999999</v>
      </c>
      <c r="Q227" s="39">
        <f>Q228+Q230+Q232</f>
        <v>14.56</v>
      </c>
      <c r="R227" s="39">
        <f t="shared" si="24"/>
        <v>411.45300000000003</v>
      </c>
      <c r="S227" s="28" t="s">
        <v>245</v>
      </c>
      <c r="T227" s="39"/>
      <c r="U227" s="39"/>
      <c r="V227" s="39"/>
      <c r="W227" s="39"/>
      <c r="X227" s="39"/>
    </row>
    <row r="228" spans="1:24" ht="18" hidden="1" customHeight="1" x14ac:dyDescent="0.25">
      <c r="A228" s="512"/>
      <c r="B228" s="5"/>
      <c r="C228" s="8"/>
      <c r="D228" s="5"/>
      <c r="E228" s="26"/>
      <c r="F228" s="26"/>
      <c r="G228" s="26"/>
      <c r="H228" s="26"/>
      <c r="I228" s="26"/>
      <c r="J228" s="26"/>
      <c r="K228" s="26"/>
      <c r="L228" s="515" t="s">
        <v>298</v>
      </c>
      <c r="M228" s="516"/>
      <c r="N228" s="39">
        <f>N229</f>
        <v>12.768000000000001</v>
      </c>
      <c r="O228" s="39">
        <f>O229</f>
        <v>13.216000000000001</v>
      </c>
      <c r="P228" s="39">
        <f>P229</f>
        <v>14.784000000000001</v>
      </c>
      <c r="Q228" s="39">
        <f>Q229</f>
        <v>14.56</v>
      </c>
      <c r="R228" s="39">
        <f t="shared" si="24"/>
        <v>55.328000000000003</v>
      </c>
      <c r="S228" s="28"/>
      <c r="T228" s="39"/>
      <c r="U228" s="39"/>
      <c r="V228" s="39"/>
      <c r="W228" s="39"/>
      <c r="X228" s="39"/>
    </row>
    <row r="229" spans="1:24" ht="18" hidden="1" customHeight="1" x14ac:dyDescent="0.25">
      <c r="A229" s="512"/>
      <c r="B229" s="5"/>
      <c r="C229" s="8"/>
      <c r="D229" s="5"/>
      <c r="E229" s="26"/>
      <c r="F229" s="26"/>
      <c r="G229" s="26"/>
      <c r="H229" s="26"/>
      <c r="I229" s="26"/>
      <c r="J229" s="26"/>
      <c r="K229" s="26"/>
      <c r="L229" s="26"/>
      <c r="M229" s="22" t="s">
        <v>446</v>
      </c>
      <c r="N229" s="39">
        <f>0.112*57*2</f>
        <v>12.768000000000001</v>
      </c>
      <c r="O229" s="39">
        <f>0.112*59*2</f>
        <v>13.216000000000001</v>
      </c>
      <c r="P229" s="39">
        <f>0.112*66*2</f>
        <v>14.784000000000001</v>
      </c>
      <c r="Q229" s="39">
        <f>0.112*65*2</f>
        <v>14.56</v>
      </c>
      <c r="R229" s="39">
        <f t="shared" si="24"/>
        <v>55.328000000000003</v>
      </c>
      <c r="S229" s="28"/>
      <c r="T229" s="39"/>
      <c r="U229" s="39"/>
      <c r="V229" s="39"/>
      <c r="W229" s="39"/>
      <c r="X229" s="39"/>
    </row>
    <row r="230" spans="1:24" ht="18" hidden="1" customHeight="1" x14ac:dyDescent="0.25">
      <c r="A230" s="512"/>
      <c r="B230" s="5"/>
      <c r="C230" s="8"/>
      <c r="D230" s="5"/>
      <c r="E230" s="26"/>
      <c r="F230" s="26"/>
      <c r="G230" s="26"/>
      <c r="H230" s="26"/>
      <c r="I230" s="26"/>
      <c r="J230" s="26"/>
      <c r="K230" s="26"/>
      <c r="L230" s="515" t="s">
        <v>13</v>
      </c>
      <c r="M230" s="516"/>
      <c r="N230" s="39">
        <f>N231</f>
        <v>0</v>
      </c>
      <c r="O230" s="39">
        <f>O231</f>
        <v>105</v>
      </c>
      <c r="P230" s="39">
        <f>P231</f>
        <v>0</v>
      </c>
      <c r="Q230" s="39">
        <f>Q231</f>
        <v>0</v>
      </c>
      <c r="R230" s="39">
        <f t="shared" si="24"/>
        <v>105</v>
      </c>
      <c r="S230" s="28"/>
      <c r="T230" s="39"/>
      <c r="U230" s="39"/>
      <c r="V230" s="39"/>
      <c r="W230" s="39"/>
      <c r="X230" s="39"/>
    </row>
    <row r="231" spans="1:24" ht="27.75" hidden="1" customHeight="1" x14ac:dyDescent="0.25">
      <c r="A231" s="512"/>
      <c r="B231" s="5"/>
      <c r="C231" s="8"/>
      <c r="D231" s="5"/>
      <c r="E231" s="26"/>
      <c r="F231" s="26"/>
      <c r="G231" s="26"/>
      <c r="H231" s="26"/>
      <c r="I231" s="26"/>
      <c r="J231" s="26"/>
      <c r="K231" s="26"/>
      <c r="L231" s="26"/>
      <c r="M231" s="4" t="s">
        <v>447</v>
      </c>
      <c r="N231" s="39"/>
      <c r="O231" s="39">
        <f>21*5</f>
        <v>105</v>
      </c>
      <c r="P231" s="39"/>
      <c r="Q231" s="39"/>
      <c r="R231" s="39">
        <f t="shared" si="24"/>
        <v>105</v>
      </c>
      <c r="S231" s="28"/>
      <c r="T231" s="39"/>
      <c r="U231" s="39"/>
      <c r="V231" s="39"/>
      <c r="W231" s="39"/>
      <c r="X231" s="39"/>
    </row>
    <row r="232" spans="1:24" ht="20.25" hidden="1" customHeight="1" x14ac:dyDescent="0.25">
      <c r="A232" s="512"/>
      <c r="B232" s="5"/>
      <c r="C232" s="8"/>
      <c r="D232" s="5"/>
      <c r="E232" s="26"/>
      <c r="F232" s="26"/>
      <c r="G232" s="26"/>
      <c r="H232" s="26"/>
      <c r="I232" s="26"/>
      <c r="J232" s="26"/>
      <c r="K232" s="26"/>
      <c r="L232" s="515" t="s">
        <v>448</v>
      </c>
      <c r="M232" s="516"/>
      <c r="N232" s="39">
        <f>N233</f>
        <v>5</v>
      </c>
      <c r="O232" s="39">
        <f>O233</f>
        <v>25</v>
      </c>
      <c r="P232" s="39">
        <v>221.125</v>
      </c>
      <c r="Q232" s="39">
        <f>Q233</f>
        <v>0</v>
      </c>
      <c r="R232" s="39">
        <f t="shared" si="24"/>
        <v>251.125</v>
      </c>
      <c r="S232" s="28"/>
      <c r="T232" s="39"/>
      <c r="U232" s="39"/>
      <c r="V232" s="39"/>
      <c r="W232" s="39"/>
      <c r="X232" s="39"/>
    </row>
    <row r="233" spans="1:24" ht="23.25" hidden="1" customHeight="1" x14ac:dyDescent="0.25">
      <c r="A233" s="512"/>
      <c r="B233" s="5"/>
      <c r="C233" s="8"/>
      <c r="D233" s="5"/>
      <c r="E233" s="26"/>
      <c r="F233" s="26"/>
      <c r="G233" s="26"/>
      <c r="H233" s="26"/>
      <c r="I233" s="26"/>
      <c r="J233" s="26"/>
      <c r="K233" s="26"/>
      <c r="L233" s="32"/>
      <c r="M233" s="4" t="s">
        <v>449</v>
      </c>
      <c r="N233" s="39">
        <v>5</v>
      </c>
      <c r="O233" s="39">
        <f>5*5</f>
        <v>25</v>
      </c>
      <c r="P233" s="39"/>
      <c r="Q233" s="39"/>
      <c r="R233" s="39">
        <f t="shared" si="24"/>
        <v>30</v>
      </c>
      <c r="S233" s="28"/>
      <c r="T233" s="39"/>
      <c r="U233" s="39"/>
      <c r="V233" s="39"/>
      <c r="W233" s="39"/>
      <c r="X233" s="39"/>
    </row>
    <row r="234" spans="1:24" ht="25.5" x14ac:dyDescent="0.25">
      <c r="A234" s="512"/>
      <c r="B234" s="5" t="s">
        <v>450</v>
      </c>
      <c r="C234" s="25" t="s">
        <v>187</v>
      </c>
      <c r="D234" s="5" t="s">
        <v>243</v>
      </c>
      <c r="E234" s="26">
        <f>N234</f>
        <v>0</v>
      </c>
      <c r="F234" s="26">
        <f>O234</f>
        <v>34.885390000000001</v>
      </c>
      <c r="G234" s="26">
        <f>P234</f>
        <v>104.65617</v>
      </c>
      <c r="H234" s="26">
        <f>Q234</f>
        <v>0</v>
      </c>
      <c r="I234" s="26">
        <f>SUM(E234:H234)+0.01</f>
        <v>139.55155999999999</v>
      </c>
      <c r="J234" s="26">
        <f>I234*1.039</f>
        <v>144.99407083999998</v>
      </c>
      <c r="K234" s="26">
        <f>J234*1.039</f>
        <v>150.64883960275998</v>
      </c>
      <c r="L234" s="5" t="s">
        <v>450</v>
      </c>
      <c r="M234" s="25" t="s">
        <v>187</v>
      </c>
      <c r="N234" s="39">
        <f>N235</f>
        <v>0</v>
      </c>
      <c r="O234" s="39">
        <f>O235</f>
        <v>34.885390000000001</v>
      </c>
      <c r="P234" s="39">
        <f>P235</f>
        <v>104.65617</v>
      </c>
      <c r="Q234" s="39">
        <f>Q235</f>
        <v>0</v>
      </c>
      <c r="R234" s="39">
        <f t="shared" si="24"/>
        <v>139.54156</v>
      </c>
      <c r="S234" s="28" t="s">
        <v>245</v>
      </c>
      <c r="T234" s="39"/>
      <c r="U234" s="39"/>
      <c r="V234" s="39"/>
      <c r="W234" s="39"/>
      <c r="X234" s="39"/>
    </row>
    <row r="235" spans="1:24" ht="37.5" hidden="1" customHeight="1" x14ac:dyDescent="0.25">
      <c r="A235" s="512"/>
      <c r="B235" s="5"/>
      <c r="C235" s="25"/>
      <c r="D235" s="5"/>
      <c r="E235" s="26"/>
      <c r="F235" s="26"/>
      <c r="G235" s="26"/>
      <c r="H235" s="26"/>
      <c r="I235" s="26"/>
      <c r="J235" s="26"/>
      <c r="K235" s="26"/>
      <c r="L235" s="515" t="s">
        <v>451</v>
      </c>
      <c r="M235" s="516"/>
      <c r="N235" s="39"/>
      <c r="O235" s="39">
        <f>34.88539</f>
        <v>34.885390000000001</v>
      </c>
      <c r="P235" s="39">
        <f>34.88539*3</f>
        <v>104.65617</v>
      </c>
      <c r="Q235" s="39"/>
      <c r="R235" s="39">
        <f t="shared" si="24"/>
        <v>139.54156</v>
      </c>
      <c r="S235" s="28"/>
      <c r="T235" s="39"/>
      <c r="U235" s="39">
        <f>O235*20%</f>
        <v>6.9770780000000006</v>
      </c>
      <c r="V235" s="39">
        <f>P235*20%</f>
        <v>20.931234000000003</v>
      </c>
      <c r="W235" s="39"/>
      <c r="X235" s="39">
        <f>SUM(T235:W235)</f>
        <v>27.908312000000002</v>
      </c>
    </row>
    <row r="236" spans="1:24" ht="25.5" x14ac:dyDescent="0.25">
      <c r="A236" s="512"/>
      <c r="B236" s="5" t="s">
        <v>452</v>
      </c>
      <c r="C236" s="25" t="s">
        <v>189</v>
      </c>
      <c r="D236" s="5" t="s">
        <v>243</v>
      </c>
      <c r="E236" s="26">
        <f>N236</f>
        <v>68.620859999999993</v>
      </c>
      <c r="F236" s="26">
        <f>O236</f>
        <v>68.620859999999993</v>
      </c>
      <c r="G236" s="26">
        <f>P236</f>
        <v>68.620859999999993</v>
      </c>
      <c r="H236" s="26">
        <f>Q236</f>
        <v>68.620859999999993</v>
      </c>
      <c r="I236" s="26">
        <f>SUM(E236:H236)</f>
        <v>274.48343999999997</v>
      </c>
      <c r="J236" s="26">
        <f>I236*1.039</f>
        <v>285.18829415999994</v>
      </c>
      <c r="K236" s="26">
        <f>J236*1.039</f>
        <v>296.31063763223995</v>
      </c>
      <c r="L236" s="5" t="s">
        <v>452</v>
      </c>
      <c r="M236" s="25" t="s">
        <v>189</v>
      </c>
      <c r="N236" s="39">
        <f>N237+N243</f>
        <v>68.620859999999993</v>
      </c>
      <c r="O236" s="39">
        <f>O237+O243</f>
        <v>68.620859999999993</v>
      </c>
      <c r="P236" s="39">
        <f>P237+P243</f>
        <v>68.620859999999993</v>
      </c>
      <c r="Q236" s="39">
        <f>Q237+Q243</f>
        <v>68.620859999999993</v>
      </c>
      <c r="R236" s="39">
        <f t="shared" si="24"/>
        <v>274.48343999999997</v>
      </c>
      <c r="S236" s="28" t="s">
        <v>245</v>
      </c>
      <c r="T236" s="39"/>
      <c r="U236" s="39"/>
      <c r="V236" s="39"/>
      <c r="W236" s="39"/>
      <c r="X236" s="39"/>
    </row>
    <row r="237" spans="1:24" ht="18" hidden="1" customHeight="1" x14ac:dyDescent="0.25">
      <c r="A237" s="512"/>
      <c r="B237" s="5"/>
      <c r="C237" s="25"/>
      <c r="D237" s="5"/>
      <c r="E237" s="26"/>
      <c r="F237" s="26"/>
      <c r="G237" s="26"/>
      <c r="H237" s="26"/>
      <c r="I237" s="26"/>
      <c r="J237" s="26"/>
      <c r="K237" s="26"/>
      <c r="L237" s="515" t="s">
        <v>298</v>
      </c>
      <c r="M237" s="516"/>
      <c r="N237" s="39">
        <f>SUM(N238:N242)</f>
        <v>60.400859999999994</v>
      </c>
      <c r="O237" s="39">
        <f>SUM(O238:O242)</f>
        <v>60.400859999999994</v>
      </c>
      <c r="P237" s="39">
        <f>SUM(P238:P242)</f>
        <v>60.400859999999994</v>
      </c>
      <c r="Q237" s="39">
        <f>SUM(Q238:Q242)</f>
        <v>60.400859999999994</v>
      </c>
      <c r="R237" s="39">
        <f t="shared" si="24"/>
        <v>241.60343999999998</v>
      </c>
      <c r="S237" s="28"/>
      <c r="T237" s="39"/>
      <c r="U237" s="39"/>
      <c r="V237" s="39"/>
      <c r="W237" s="39"/>
      <c r="X237" s="39"/>
    </row>
    <row r="238" spans="1:24" ht="17.25" hidden="1" customHeight="1" x14ac:dyDescent="0.25">
      <c r="A238" s="512"/>
      <c r="B238" s="5"/>
      <c r="C238" s="25"/>
      <c r="D238" s="5"/>
      <c r="E238" s="26"/>
      <c r="F238" s="26"/>
      <c r="G238" s="26"/>
      <c r="H238" s="26"/>
      <c r="I238" s="26"/>
      <c r="J238" s="26"/>
      <c r="K238" s="26"/>
      <c r="L238" s="26"/>
      <c r="M238" s="34" t="s">
        <v>453</v>
      </c>
      <c r="N238" s="76">
        <f>0.37646*3</f>
        <v>1.1293800000000001</v>
      </c>
      <c r="O238" s="39">
        <f>0.37646*3</f>
        <v>1.1293800000000001</v>
      </c>
      <c r="P238" s="39">
        <f>0.37646*3</f>
        <v>1.1293800000000001</v>
      </c>
      <c r="Q238" s="39">
        <f>0.37646*3</f>
        <v>1.1293800000000001</v>
      </c>
      <c r="R238" s="39">
        <f t="shared" si="24"/>
        <v>4.5175200000000002</v>
      </c>
      <c r="S238" s="28"/>
      <c r="T238" s="39"/>
      <c r="U238" s="39"/>
      <c r="V238" s="39"/>
      <c r="W238" s="39"/>
      <c r="X238" s="39"/>
    </row>
    <row r="239" spans="1:24" ht="17.25" hidden="1" customHeight="1" x14ac:dyDescent="0.25">
      <c r="A239" s="512"/>
      <c r="B239" s="5"/>
      <c r="C239" s="25"/>
      <c r="D239" s="5"/>
      <c r="E239" s="26"/>
      <c r="F239" s="26"/>
      <c r="G239" s="26"/>
      <c r="H239" s="26"/>
      <c r="I239" s="26"/>
      <c r="J239" s="26"/>
      <c r="K239" s="26"/>
      <c r="L239" s="26"/>
      <c r="M239" s="34" t="s">
        <v>454</v>
      </c>
      <c r="N239" s="76">
        <f>0.20988*3</f>
        <v>0.62963999999999998</v>
      </c>
      <c r="O239" s="39">
        <f>0.20988*3</f>
        <v>0.62963999999999998</v>
      </c>
      <c r="P239" s="39">
        <f>0.20988*3</f>
        <v>0.62963999999999998</v>
      </c>
      <c r="Q239" s="39">
        <f>0.20988*3</f>
        <v>0.62963999999999998</v>
      </c>
      <c r="R239" s="39">
        <f t="shared" si="24"/>
        <v>2.5185599999999999</v>
      </c>
      <c r="S239" s="28"/>
      <c r="T239" s="39"/>
      <c r="U239" s="39"/>
      <c r="V239" s="39"/>
      <c r="W239" s="39"/>
      <c r="X239" s="39"/>
    </row>
    <row r="240" spans="1:24" ht="17.25" hidden="1" customHeight="1" x14ac:dyDescent="0.25">
      <c r="A240" s="512"/>
      <c r="B240" s="5"/>
      <c r="C240" s="25"/>
      <c r="D240" s="5"/>
      <c r="E240" s="26"/>
      <c r="F240" s="26"/>
      <c r="G240" s="26"/>
      <c r="H240" s="26"/>
      <c r="I240" s="26"/>
      <c r="J240" s="26"/>
      <c r="K240" s="26"/>
      <c r="L240" s="26"/>
      <c r="M240" s="34" t="s">
        <v>455</v>
      </c>
      <c r="N240" s="76">
        <f>0.08333*3</f>
        <v>0.24998999999999999</v>
      </c>
      <c r="O240" s="39">
        <f>0.08333*3</f>
        <v>0.24998999999999999</v>
      </c>
      <c r="P240" s="39">
        <f>0.08333*3</f>
        <v>0.24998999999999999</v>
      </c>
      <c r="Q240" s="39">
        <f>0.08333*3</f>
        <v>0.24998999999999999</v>
      </c>
      <c r="R240" s="39">
        <f t="shared" si="24"/>
        <v>0.99995999999999996</v>
      </c>
      <c r="S240" s="28"/>
      <c r="T240" s="39"/>
      <c r="U240" s="39"/>
      <c r="V240" s="39"/>
      <c r="W240" s="39"/>
      <c r="X240" s="39"/>
    </row>
    <row r="241" spans="1:24" ht="17.25" hidden="1" customHeight="1" x14ac:dyDescent="0.25">
      <c r="A241" s="512"/>
      <c r="B241" s="5"/>
      <c r="C241" s="25"/>
      <c r="D241" s="5"/>
      <c r="E241" s="26"/>
      <c r="F241" s="26"/>
      <c r="G241" s="26"/>
      <c r="H241" s="26"/>
      <c r="I241" s="26"/>
      <c r="J241" s="26"/>
      <c r="K241" s="26"/>
      <c r="L241" s="26"/>
      <c r="M241" s="34" t="s">
        <v>456</v>
      </c>
      <c r="N241" s="76">
        <f>0.88062*3</f>
        <v>2.6418599999999999</v>
      </c>
      <c r="O241" s="77">
        <f>0.88062*3</f>
        <v>2.6418599999999999</v>
      </c>
      <c r="P241" s="77">
        <f>0.88062*3</f>
        <v>2.6418599999999999</v>
      </c>
      <c r="Q241" s="77">
        <f>0.88062*3</f>
        <v>2.6418599999999999</v>
      </c>
      <c r="R241" s="39">
        <f t="shared" si="24"/>
        <v>10.56744</v>
      </c>
      <c r="S241" s="28"/>
      <c r="T241" s="39"/>
      <c r="U241" s="39"/>
      <c r="V241" s="39"/>
      <c r="W241" s="39"/>
      <c r="X241" s="39"/>
    </row>
    <row r="242" spans="1:24" ht="21" hidden="1" customHeight="1" x14ac:dyDescent="0.25">
      <c r="A242" s="512"/>
      <c r="B242" s="5"/>
      <c r="C242" s="25"/>
      <c r="D242" s="5"/>
      <c r="E242" s="26"/>
      <c r="F242" s="26"/>
      <c r="G242" s="26"/>
      <c r="H242" s="26"/>
      <c r="I242" s="26"/>
      <c r="J242" s="26"/>
      <c r="K242" s="26"/>
      <c r="L242" s="26"/>
      <c r="M242" s="22" t="s">
        <v>457</v>
      </c>
      <c r="N242" s="39">
        <f>18.58333*3</f>
        <v>55.749989999999997</v>
      </c>
      <c r="O242" s="39">
        <v>55.749989999999997</v>
      </c>
      <c r="P242" s="39">
        <v>55.749989999999997</v>
      </c>
      <c r="Q242" s="39">
        <v>55.749989999999997</v>
      </c>
      <c r="R242" s="39">
        <f t="shared" si="24"/>
        <v>222.99995999999999</v>
      </c>
      <c r="S242" s="28"/>
      <c r="T242" s="39"/>
      <c r="U242" s="39"/>
      <c r="V242" s="39"/>
      <c r="W242" s="39"/>
      <c r="X242" s="39"/>
    </row>
    <row r="243" spans="1:24" ht="21" hidden="1" customHeight="1" x14ac:dyDescent="0.25">
      <c r="A243" s="512"/>
      <c r="B243" s="5"/>
      <c r="C243" s="25"/>
      <c r="D243" s="5"/>
      <c r="E243" s="26"/>
      <c r="F243" s="26"/>
      <c r="G243" s="26"/>
      <c r="H243" s="26"/>
      <c r="I243" s="26"/>
      <c r="J243" s="26"/>
      <c r="K243" s="26"/>
      <c r="L243" s="515" t="s">
        <v>59</v>
      </c>
      <c r="M243" s="516"/>
      <c r="N243" s="39">
        <f>SUM(N244:N246)</f>
        <v>8.2199999999999989</v>
      </c>
      <c r="O243" s="39">
        <f>SUM(O244:O246)</f>
        <v>8.2199999999999989</v>
      </c>
      <c r="P243" s="39">
        <f>SUM(P244:P246)</f>
        <v>8.2199999999999989</v>
      </c>
      <c r="Q243" s="39">
        <f>SUM(Q244:Q246)</f>
        <v>8.2199999999999989</v>
      </c>
      <c r="R243" s="39">
        <f t="shared" si="24"/>
        <v>32.879999999999995</v>
      </c>
      <c r="S243" s="28"/>
      <c r="T243" s="39"/>
      <c r="U243" s="39"/>
      <c r="V243" s="39"/>
      <c r="W243" s="39"/>
      <c r="X243" s="39"/>
    </row>
    <row r="244" spans="1:24" ht="21" hidden="1" customHeight="1" x14ac:dyDescent="0.25">
      <c r="A244" s="512"/>
      <c r="B244" s="5"/>
      <c r="C244" s="25"/>
      <c r="D244" s="5"/>
      <c r="E244" s="26"/>
      <c r="F244" s="26"/>
      <c r="G244" s="26"/>
      <c r="H244" s="26"/>
      <c r="I244" s="26"/>
      <c r="J244" s="26"/>
      <c r="K244" s="26"/>
      <c r="L244" s="26"/>
      <c r="M244" s="34" t="s">
        <v>458</v>
      </c>
      <c r="N244" s="78">
        <f>1.49*3</f>
        <v>4.47</v>
      </c>
      <c r="O244" s="39">
        <v>4.47</v>
      </c>
      <c r="P244" s="39">
        <v>4.47</v>
      </c>
      <c r="Q244" s="39">
        <v>4.47</v>
      </c>
      <c r="R244" s="39">
        <f t="shared" si="24"/>
        <v>17.88</v>
      </c>
      <c r="S244" s="28"/>
      <c r="T244" s="39"/>
      <c r="U244" s="39"/>
      <c r="V244" s="39"/>
      <c r="W244" s="39"/>
      <c r="X244" s="39"/>
    </row>
    <row r="245" spans="1:24" ht="21" hidden="1" customHeight="1" x14ac:dyDescent="0.25">
      <c r="A245" s="512"/>
      <c r="B245" s="5"/>
      <c r="C245" s="25"/>
      <c r="D245" s="5"/>
      <c r="E245" s="26"/>
      <c r="F245" s="26"/>
      <c r="G245" s="26"/>
      <c r="H245" s="26"/>
      <c r="I245" s="26"/>
      <c r="J245" s="26"/>
      <c r="K245" s="26"/>
      <c r="L245" s="26"/>
      <c r="M245" s="34" t="s">
        <v>459</v>
      </c>
      <c r="N245" s="79">
        <f>0.83333*3</f>
        <v>2.4999899999999999</v>
      </c>
      <c r="O245" s="39">
        <v>2.4999899999999999</v>
      </c>
      <c r="P245" s="39">
        <v>2.4999899999999999</v>
      </c>
      <c r="Q245" s="39">
        <v>2.4999899999999999</v>
      </c>
      <c r="R245" s="39">
        <f t="shared" si="24"/>
        <v>9.9999599999999997</v>
      </c>
      <c r="S245" s="28"/>
      <c r="T245" s="39"/>
      <c r="U245" s="39"/>
      <c r="V245" s="39"/>
      <c r="W245" s="39"/>
      <c r="X245" s="39"/>
    </row>
    <row r="246" spans="1:24" ht="21" hidden="1" customHeight="1" x14ac:dyDescent="0.25">
      <c r="A246" s="512"/>
      <c r="B246" s="5"/>
      <c r="C246" s="25"/>
      <c r="D246" s="5"/>
      <c r="E246" s="26"/>
      <c r="F246" s="26"/>
      <c r="G246" s="26"/>
      <c r="H246" s="26"/>
      <c r="I246" s="26"/>
      <c r="J246" s="26"/>
      <c r="K246" s="26"/>
      <c r="L246" s="26"/>
      <c r="M246" s="34" t="s">
        <v>460</v>
      </c>
      <c r="N246" s="79">
        <f>0.41667*3</f>
        <v>1.2500100000000001</v>
      </c>
      <c r="O246" s="39">
        <v>1.2500100000000001</v>
      </c>
      <c r="P246" s="39">
        <v>1.2500100000000001</v>
      </c>
      <c r="Q246" s="39">
        <v>1.2500100000000001</v>
      </c>
      <c r="R246" s="39">
        <f t="shared" si="24"/>
        <v>5.0000400000000003</v>
      </c>
      <c r="S246" s="28"/>
      <c r="T246" s="39"/>
      <c r="U246" s="39"/>
      <c r="V246" s="39"/>
      <c r="W246" s="39"/>
      <c r="X246" s="39"/>
    </row>
    <row r="247" spans="1:24" ht="15.75" customHeight="1" x14ac:dyDescent="0.25">
      <c r="A247" s="512"/>
      <c r="B247" s="5" t="s">
        <v>461</v>
      </c>
      <c r="C247" s="25" t="s">
        <v>191</v>
      </c>
      <c r="D247" s="5" t="s">
        <v>243</v>
      </c>
      <c r="E247" s="26">
        <f>N247</f>
        <v>172.20032</v>
      </c>
      <c r="F247" s="26">
        <f>O247</f>
        <v>216.49905000000001</v>
      </c>
      <c r="G247" s="26">
        <f>P247</f>
        <v>259.02620000000002</v>
      </c>
      <c r="H247" s="26">
        <f>Q247</f>
        <v>170.77620000000002</v>
      </c>
      <c r="I247" s="26">
        <f>SUM(E247:H247)+0.01</f>
        <v>818.51177000000007</v>
      </c>
      <c r="J247" s="26">
        <f>I247*1.015</f>
        <v>830.78944654999998</v>
      </c>
      <c r="K247" s="26">
        <f>J247*1.015</f>
        <v>843.25128824824992</v>
      </c>
      <c r="L247" s="5" t="s">
        <v>461</v>
      </c>
      <c r="M247" s="25" t="s">
        <v>191</v>
      </c>
      <c r="N247" s="39">
        <f>N248+N250+N251+N256+N259</f>
        <v>172.20032</v>
      </c>
      <c r="O247" s="39">
        <f>O248+O250+O251+O256+O259</f>
        <v>216.49905000000001</v>
      </c>
      <c r="P247" s="39">
        <f>P248+P250+P251+P256+P259</f>
        <v>259.02620000000002</v>
      </c>
      <c r="Q247" s="39">
        <f>Q248+Q250+Q251+Q256+Q259</f>
        <v>170.77620000000002</v>
      </c>
      <c r="R247" s="39">
        <f t="shared" si="24"/>
        <v>818.50177000000008</v>
      </c>
      <c r="S247" s="28" t="s">
        <v>462</v>
      </c>
      <c r="T247" s="39"/>
      <c r="U247" s="39"/>
      <c r="V247" s="39"/>
      <c r="W247" s="39"/>
      <c r="X247" s="39"/>
    </row>
    <row r="248" spans="1:24" ht="18" hidden="1" customHeight="1" x14ac:dyDescent="0.25">
      <c r="A248" s="512"/>
      <c r="B248" s="5"/>
      <c r="C248" s="25"/>
      <c r="D248" s="5"/>
      <c r="E248" s="26"/>
      <c r="F248" s="26"/>
      <c r="G248" s="26"/>
      <c r="H248" s="26"/>
      <c r="I248" s="26"/>
      <c r="J248" s="26"/>
      <c r="K248" s="26"/>
      <c r="L248" s="515" t="s">
        <v>13</v>
      </c>
      <c r="M248" s="516"/>
      <c r="N248" s="39">
        <f>N249</f>
        <v>0</v>
      </c>
      <c r="O248" s="39">
        <f>O249</f>
        <v>28.75</v>
      </c>
      <c r="P248" s="39">
        <f>P249</f>
        <v>86.25</v>
      </c>
      <c r="Q248" s="39">
        <f>Q249</f>
        <v>0</v>
      </c>
      <c r="R248" s="39">
        <f>R249</f>
        <v>115</v>
      </c>
      <c r="S248" s="28"/>
      <c r="T248" s="39"/>
      <c r="U248" s="39"/>
      <c r="V248" s="39"/>
      <c r="W248" s="39"/>
      <c r="X248" s="39"/>
    </row>
    <row r="249" spans="1:24" ht="44.25" hidden="1" customHeight="1" x14ac:dyDescent="0.25">
      <c r="A249" s="512"/>
      <c r="B249" s="5"/>
      <c r="C249" s="25"/>
      <c r="D249" s="5"/>
      <c r="E249" s="26"/>
      <c r="F249" s="26"/>
      <c r="G249" s="26"/>
      <c r="H249" s="26"/>
      <c r="I249" s="26"/>
      <c r="J249" s="26"/>
      <c r="K249" s="26"/>
      <c r="L249" s="26"/>
      <c r="M249" s="80" t="s">
        <v>463</v>
      </c>
      <c r="N249" s="39">
        <v>0</v>
      </c>
      <c r="O249" s="39">
        <v>28.75</v>
      </c>
      <c r="P249" s="39">
        <f>28.75*3</f>
        <v>86.25</v>
      </c>
      <c r="Q249" s="39">
        <v>0</v>
      </c>
      <c r="R249" s="39">
        <f>SUM(N249:Q249)</f>
        <v>115</v>
      </c>
      <c r="S249" s="28"/>
      <c r="T249" s="39"/>
      <c r="U249" s="39"/>
      <c r="V249" s="39"/>
      <c r="W249" s="39"/>
      <c r="X249" s="39"/>
    </row>
    <row r="250" spans="1:24" ht="18" hidden="1" customHeight="1" x14ac:dyDescent="0.25">
      <c r="A250" s="512"/>
      <c r="B250" s="5"/>
      <c r="C250" s="25"/>
      <c r="D250" s="5"/>
      <c r="E250" s="26"/>
      <c r="F250" s="26"/>
      <c r="G250" s="26"/>
      <c r="H250" s="26"/>
      <c r="I250" s="26"/>
      <c r="J250" s="26"/>
      <c r="K250" s="26"/>
      <c r="L250" s="515" t="s">
        <v>256</v>
      </c>
      <c r="M250" s="516"/>
      <c r="N250" s="39"/>
      <c r="O250" s="39"/>
      <c r="P250" s="39"/>
      <c r="Q250" s="39"/>
      <c r="R250" s="39"/>
      <c r="S250" s="28"/>
      <c r="T250" s="39"/>
      <c r="U250" s="39"/>
      <c r="V250" s="39"/>
      <c r="W250" s="39"/>
      <c r="X250" s="39"/>
    </row>
    <row r="251" spans="1:24" ht="28.5" hidden="1" customHeight="1" x14ac:dyDescent="0.25">
      <c r="A251" s="512"/>
      <c r="B251" s="5"/>
      <c r="C251" s="25"/>
      <c r="D251" s="5"/>
      <c r="E251" s="26"/>
      <c r="F251" s="26"/>
      <c r="G251" s="26"/>
      <c r="H251" s="26"/>
      <c r="I251" s="26"/>
      <c r="J251" s="26"/>
      <c r="K251" s="26"/>
      <c r="L251" s="515" t="s">
        <v>59</v>
      </c>
      <c r="M251" s="516"/>
      <c r="N251" s="39">
        <f>SUM(N252:N255)</f>
        <v>58.911020000000001</v>
      </c>
      <c r="O251" s="39">
        <f>SUM(O252:O255)</f>
        <v>58.911020000000001</v>
      </c>
      <c r="P251" s="39">
        <f>SUM(P252:P255)</f>
        <v>58.911020000000001</v>
      </c>
      <c r="Q251" s="39">
        <f>SUM(Q252:Q255)</f>
        <v>58.911020000000001</v>
      </c>
      <c r="R251" s="39">
        <f>SUM(R252:R255)</f>
        <v>235.64408</v>
      </c>
      <c r="S251" s="28"/>
      <c r="T251" s="39"/>
      <c r="U251" s="39"/>
      <c r="V251" s="39"/>
      <c r="W251" s="39"/>
      <c r="X251" s="39"/>
    </row>
    <row r="252" spans="1:24" ht="36" hidden="1" customHeight="1" x14ac:dyDescent="0.25">
      <c r="A252" s="512"/>
      <c r="B252" s="5"/>
      <c r="C252" s="25"/>
      <c r="D252" s="5"/>
      <c r="E252" s="26"/>
      <c r="F252" s="26"/>
      <c r="G252" s="26"/>
      <c r="H252" s="26"/>
      <c r="I252" s="26"/>
      <c r="J252" s="26"/>
      <c r="K252" s="26"/>
      <c r="L252" s="26"/>
      <c r="M252" s="72" t="s">
        <v>464</v>
      </c>
      <c r="N252" s="68">
        <f>10*3</f>
        <v>30</v>
      </c>
      <c r="O252" s="68">
        <f>10*3</f>
        <v>30</v>
      </c>
      <c r="P252" s="68">
        <f>10*3</f>
        <v>30</v>
      </c>
      <c r="Q252" s="68">
        <f>10*3</f>
        <v>30</v>
      </c>
      <c r="R252" s="68">
        <f t="shared" ref="R252:R258" si="25">SUM(N252:Q252)</f>
        <v>120</v>
      </c>
      <c r="S252" s="28"/>
      <c r="T252" s="39"/>
      <c r="U252" s="39"/>
      <c r="V252" s="39"/>
      <c r="W252" s="39"/>
      <c r="X252" s="39"/>
    </row>
    <row r="253" spans="1:24" ht="30.75" hidden="1" customHeight="1" x14ac:dyDescent="0.25">
      <c r="A253" s="512"/>
      <c r="B253" s="5"/>
      <c r="C253" s="25"/>
      <c r="D253" s="5"/>
      <c r="E253" s="26"/>
      <c r="F253" s="26"/>
      <c r="G253" s="26"/>
      <c r="H253" s="26"/>
      <c r="I253" s="26"/>
      <c r="J253" s="26"/>
      <c r="K253" s="26"/>
      <c r="L253" s="26"/>
      <c r="M253" s="81" t="s">
        <v>465</v>
      </c>
      <c r="N253" s="68">
        <v>5</v>
      </c>
      <c r="O253" s="68">
        <v>5</v>
      </c>
      <c r="P253" s="68">
        <v>5</v>
      </c>
      <c r="Q253" s="68">
        <v>5</v>
      </c>
      <c r="R253" s="68">
        <f t="shared" si="25"/>
        <v>20</v>
      </c>
      <c r="S253" s="28"/>
      <c r="T253" s="39">
        <f t="shared" ref="T253:W255" si="26">N253*20%</f>
        <v>1</v>
      </c>
      <c r="U253" s="39">
        <f t="shared" si="26"/>
        <v>1</v>
      </c>
      <c r="V253" s="39">
        <f t="shared" si="26"/>
        <v>1</v>
      </c>
      <c r="W253" s="39">
        <f t="shared" si="26"/>
        <v>1</v>
      </c>
      <c r="X253" s="39">
        <f>SUM(T253:W253)</f>
        <v>4</v>
      </c>
    </row>
    <row r="254" spans="1:24" ht="37.5" hidden="1" customHeight="1" x14ac:dyDescent="0.25">
      <c r="A254" s="512"/>
      <c r="B254" s="5"/>
      <c r="C254" s="25"/>
      <c r="D254" s="5"/>
      <c r="E254" s="26"/>
      <c r="F254" s="26"/>
      <c r="G254" s="26"/>
      <c r="H254" s="26"/>
      <c r="I254" s="26"/>
      <c r="J254" s="26"/>
      <c r="K254" s="26"/>
      <c r="L254" s="26"/>
      <c r="M254" s="81" t="s">
        <v>466</v>
      </c>
      <c r="N254" s="68">
        <f>7.25*3</f>
        <v>21.75</v>
      </c>
      <c r="O254" s="68">
        <f>7.25*3</f>
        <v>21.75</v>
      </c>
      <c r="P254" s="68">
        <f>7.25*3</f>
        <v>21.75</v>
      </c>
      <c r="Q254" s="68">
        <f>7.25*3</f>
        <v>21.75</v>
      </c>
      <c r="R254" s="68">
        <f t="shared" si="25"/>
        <v>87</v>
      </c>
      <c r="S254" s="28"/>
      <c r="T254" s="39">
        <f t="shared" si="26"/>
        <v>4.3500000000000005</v>
      </c>
      <c r="U254" s="39">
        <f t="shared" si="26"/>
        <v>4.3500000000000005</v>
      </c>
      <c r="V254" s="39">
        <f t="shared" si="26"/>
        <v>4.3500000000000005</v>
      </c>
      <c r="W254" s="39">
        <f t="shared" si="26"/>
        <v>4.3500000000000005</v>
      </c>
      <c r="X254" s="39">
        <f>SUM(T254:W254)</f>
        <v>17.400000000000002</v>
      </c>
    </row>
    <row r="255" spans="1:24" ht="25.5" hidden="1" customHeight="1" x14ac:dyDescent="0.25">
      <c r="A255" s="512"/>
      <c r="B255" s="5"/>
      <c r="C255" s="25"/>
      <c r="D255" s="5"/>
      <c r="E255" s="26"/>
      <c r="F255" s="26"/>
      <c r="G255" s="26"/>
      <c r="H255" s="26"/>
      <c r="I255" s="26"/>
      <c r="J255" s="26"/>
      <c r="K255" s="26"/>
      <c r="L255" s="26"/>
      <c r="M255" s="81" t="s">
        <v>467</v>
      </c>
      <c r="N255" s="68">
        <f>720.34*3/1000</f>
        <v>2.1610200000000002</v>
      </c>
      <c r="O255" s="68">
        <f>720.34*3/1000</f>
        <v>2.1610200000000002</v>
      </c>
      <c r="P255" s="68">
        <f>720.34*3/1000</f>
        <v>2.1610200000000002</v>
      </c>
      <c r="Q255" s="68">
        <f>720.34*3/1000</f>
        <v>2.1610200000000002</v>
      </c>
      <c r="R255" s="68">
        <f t="shared" si="25"/>
        <v>8.6440800000000007</v>
      </c>
      <c r="S255" s="28"/>
      <c r="T255" s="39">
        <f t="shared" si="26"/>
        <v>0.43220400000000003</v>
      </c>
      <c r="U255" s="39">
        <f t="shared" si="26"/>
        <v>0.43220400000000003</v>
      </c>
      <c r="V255" s="39">
        <f t="shared" si="26"/>
        <v>0.43220400000000003</v>
      </c>
      <c r="W255" s="39">
        <f t="shared" si="26"/>
        <v>0.43220400000000003</v>
      </c>
      <c r="X255" s="39">
        <f>SUM(T255:W255)</f>
        <v>1.7288160000000001</v>
      </c>
    </row>
    <row r="256" spans="1:24" ht="27.75" hidden="1" customHeight="1" x14ac:dyDescent="0.25">
      <c r="A256" s="512"/>
      <c r="B256" s="5"/>
      <c r="C256" s="25"/>
      <c r="D256" s="5"/>
      <c r="E256" s="26"/>
      <c r="F256" s="26"/>
      <c r="G256" s="26"/>
      <c r="H256" s="26"/>
      <c r="I256" s="26"/>
      <c r="J256" s="26"/>
      <c r="K256" s="26"/>
      <c r="L256" s="515" t="s">
        <v>336</v>
      </c>
      <c r="M256" s="516"/>
      <c r="N256" s="39">
        <f>N257+N258</f>
        <v>16.289300000000001</v>
      </c>
      <c r="O256" s="39">
        <f>O257+O258</f>
        <v>31.838029999999996</v>
      </c>
      <c r="P256" s="39">
        <f>P257+P258</f>
        <v>16.865180000000002</v>
      </c>
      <c r="Q256" s="39">
        <f>Q257+Q258</f>
        <v>16.865180000000002</v>
      </c>
      <c r="R256" s="39">
        <f t="shared" si="25"/>
        <v>81.857690000000019</v>
      </c>
      <c r="S256" s="28"/>
      <c r="T256" s="39"/>
      <c r="U256" s="39"/>
      <c r="V256" s="39"/>
      <c r="W256" s="39"/>
      <c r="X256" s="39"/>
    </row>
    <row r="257" spans="1:24" s="57" customFormat="1" ht="27.75" hidden="1" customHeight="1" x14ac:dyDescent="0.25">
      <c r="A257" s="512"/>
      <c r="B257" s="58"/>
      <c r="C257" s="82"/>
      <c r="D257" s="58"/>
      <c r="E257" s="60"/>
      <c r="F257" s="60"/>
      <c r="G257" s="60"/>
      <c r="H257" s="60"/>
      <c r="I257" s="60"/>
      <c r="J257" s="60"/>
      <c r="K257" s="60"/>
      <c r="L257" s="60"/>
      <c r="M257" s="72" t="s">
        <v>468</v>
      </c>
      <c r="N257" s="61">
        <f>1.27119*3</f>
        <v>3.8135700000000003</v>
      </c>
      <c r="O257" s="61">
        <f>1.27119*3</f>
        <v>3.8135700000000003</v>
      </c>
      <c r="P257" s="61">
        <f>1.27119*3</f>
        <v>3.8135700000000003</v>
      </c>
      <c r="Q257" s="61">
        <f>1.27119*3</f>
        <v>3.8135700000000003</v>
      </c>
      <c r="R257" s="61">
        <f t="shared" si="25"/>
        <v>15.254280000000001</v>
      </c>
      <c r="S257" s="62"/>
      <c r="T257" s="61">
        <f t="shared" ref="T257:W258" si="27">N257*20%</f>
        <v>0.76271400000000011</v>
      </c>
      <c r="U257" s="61">
        <f t="shared" si="27"/>
        <v>0.76271400000000011</v>
      </c>
      <c r="V257" s="61">
        <f t="shared" si="27"/>
        <v>0.76271400000000011</v>
      </c>
      <c r="W257" s="61">
        <f t="shared" si="27"/>
        <v>0.76271400000000011</v>
      </c>
      <c r="X257" s="61">
        <f>SUM(T257:W257)</f>
        <v>3.0508560000000005</v>
      </c>
    </row>
    <row r="258" spans="1:24" s="57" customFormat="1" ht="27.75" hidden="1" customHeight="1" x14ac:dyDescent="0.25">
      <c r="A258" s="512"/>
      <c r="B258" s="58"/>
      <c r="C258" s="82"/>
      <c r="D258" s="58"/>
      <c r="E258" s="60"/>
      <c r="F258" s="60"/>
      <c r="G258" s="60"/>
      <c r="H258" s="60"/>
      <c r="I258" s="60"/>
      <c r="J258" s="60"/>
      <c r="K258" s="60"/>
      <c r="L258" s="60"/>
      <c r="M258" s="72" t="s">
        <v>469</v>
      </c>
      <c r="N258" s="61">
        <f>'[7]23_1'!$L$18/1000</f>
        <v>12.47573</v>
      </c>
      <c r="O258" s="61">
        <f>'[7]23_2'!$L$17/1000</f>
        <v>28.024459999999998</v>
      </c>
      <c r="P258" s="61">
        <f>13.05161</f>
        <v>13.05161</v>
      </c>
      <c r="Q258" s="61">
        <f>P258</f>
        <v>13.05161</v>
      </c>
      <c r="R258" s="61">
        <f t="shared" si="25"/>
        <v>66.603409999999997</v>
      </c>
      <c r="S258" s="62"/>
      <c r="T258" s="61">
        <f t="shared" si="27"/>
        <v>2.4951460000000001</v>
      </c>
      <c r="U258" s="61">
        <f t="shared" si="27"/>
        <v>5.6048919999999995</v>
      </c>
      <c r="V258" s="61">
        <f t="shared" si="27"/>
        <v>2.610322</v>
      </c>
      <c r="W258" s="61">
        <f t="shared" si="27"/>
        <v>2.610322</v>
      </c>
      <c r="X258" s="61">
        <f>SUM(T258:W258)</f>
        <v>13.320682</v>
      </c>
    </row>
    <row r="259" spans="1:24" ht="18" hidden="1" customHeight="1" x14ac:dyDescent="0.25">
      <c r="A259" s="512"/>
      <c r="B259" s="5"/>
      <c r="C259" s="25"/>
      <c r="D259" s="5"/>
      <c r="E259" s="26"/>
      <c r="F259" s="26"/>
      <c r="G259" s="26"/>
      <c r="H259" s="26"/>
      <c r="I259" s="26"/>
      <c r="J259" s="26"/>
      <c r="K259" s="26"/>
      <c r="L259" s="515" t="s">
        <v>298</v>
      </c>
      <c r="M259" s="516"/>
      <c r="N259" s="39">
        <f>SUM(N260:N262)</f>
        <v>97</v>
      </c>
      <c r="O259" s="39">
        <f>SUM(O260:O262)</f>
        <v>97</v>
      </c>
      <c r="P259" s="39">
        <f>SUM(P260:P262)</f>
        <v>97</v>
      </c>
      <c r="Q259" s="39">
        <f>SUM(Q260:Q262)</f>
        <v>95</v>
      </c>
      <c r="R259" s="39">
        <f>SUM(R260:R262)</f>
        <v>386</v>
      </c>
      <c r="S259" s="28"/>
      <c r="T259" s="39"/>
      <c r="U259" s="39"/>
      <c r="V259" s="39"/>
      <c r="W259" s="39"/>
      <c r="X259" s="39"/>
    </row>
    <row r="260" spans="1:24" s="57" customFormat="1" ht="30" hidden="1" customHeight="1" x14ac:dyDescent="0.25">
      <c r="A260" s="512"/>
      <c r="B260" s="58"/>
      <c r="C260" s="82"/>
      <c r="D260" s="58"/>
      <c r="E260" s="60"/>
      <c r="F260" s="60"/>
      <c r="G260" s="60"/>
      <c r="H260" s="60"/>
      <c r="I260" s="60"/>
      <c r="J260" s="60"/>
      <c r="K260" s="60"/>
      <c r="L260" s="60"/>
      <c r="M260" s="81" t="s">
        <v>470</v>
      </c>
      <c r="N260" s="61">
        <v>23</v>
      </c>
      <c r="O260" s="61">
        <v>23</v>
      </c>
      <c r="P260" s="61">
        <v>23</v>
      </c>
      <c r="Q260" s="61">
        <v>21</v>
      </c>
      <c r="R260" s="61">
        <f>SUM(N260:Q260)</f>
        <v>90</v>
      </c>
      <c r="S260" s="62"/>
      <c r="T260" s="61">
        <f>N260*20%</f>
        <v>4.6000000000000005</v>
      </c>
      <c r="U260" s="61">
        <f>O260*20%</f>
        <v>4.6000000000000005</v>
      </c>
      <c r="V260" s="61">
        <f>P260*20%</f>
        <v>4.6000000000000005</v>
      </c>
      <c r="W260" s="61">
        <f>Q260*20%</f>
        <v>4.2</v>
      </c>
      <c r="X260" s="61">
        <f>SUM(T260:W260)</f>
        <v>18</v>
      </c>
    </row>
    <row r="261" spans="1:24" s="57" customFormat="1" ht="39" hidden="1" customHeight="1" x14ac:dyDescent="0.25">
      <c r="A261" s="512"/>
      <c r="B261" s="58"/>
      <c r="C261" s="82"/>
      <c r="D261" s="58"/>
      <c r="E261" s="60"/>
      <c r="F261" s="60"/>
      <c r="G261" s="60"/>
      <c r="H261" s="60"/>
      <c r="I261" s="60"/>
      <c r="J261" s="60"/>
      <c r="K261" s="60"/>
      <c r="L261" s="60"/>
      <c r="M261" s="81" t="s">
        <v>471</v>
      </c>
      <c r="N261" s="61">
        <f>(20000+3000)*3/1000</f>
        <v>69</v>
      </c>
      <c r="O261" s="61">
        <v>69</v>
      </c>
      <c r="P261" s="61">
        <v>69</v>
      </c>
      <c r="Q261" s="61">
        <v>69</v>
      </c>
      <c r="R261" s="61">
        <f>SUM(N261:Q261)</f>
        <v>276</v>
      </c>
      <c r="S261" s="62"/>
      <c r="T261" s="61"/>
      <c r="U261" s="61"/>
      <c r="V261" s="61"/>
      <c r="W261" s="61"/>
      <c r="X261" s="61"/>
    </row>
    <row r="262" spans="1:24" s="57" customFormat="1" ht="18" hidden="1" customHeight="1" x14ac:dyDescent="0.25">
      <c r="A262" s="512"/>
      <c r="B262" s="58"/>
      <c r="C262" s="82"/>
      <c r="D262" s="58"/>
      <c r="E262" s="60"/>
      <c r="F262" s="60"/>
      <c r="G262" s="60"/>
      <c r="H262" s="60"/>
      <c r="I262" s="60"/>
      <c r="J262" s="60"/>
      <c r="K262" s="60"/>
      <c r="L262" s="60"/>
      <c r="M262" s="67" t="s">
        <v>472</v>
      </c>
      <c r="N262" s="61">
        <v>5</v>
      </c>
      <c r="O262" s="61">
        <v>5</v>
      </c>
      <c r="P262" s="61">
        <v>5</v>
      </c>
      <c r="Q262" s="61">
        <v>5</v>
      </c>
      <c r="R262" s="61">
        <f>SUM(N262:Q262)</f>
        <v>20</v>
      </c>
      <c r="S262" s="62"/>
      <c r="T262" s="61"/>
      <c r="U262" s="61"/>
      <c r="V262" s="61"/>
      <c r="W262" s="61"/>
      <c r="X262" s="61"/>
    </row>
    <row r="263" spans="1:24" ht="18" hidden="1" customHeight="1" x14ac:dyDescent="0.25">
      <c r="A263" s="512"/>
      <c r="B263" s="5"/>
      <c r="C263" s="25"/>
      <c r="D263" s="5"/>
      <c r="E263" s="26"/>
      <c r="F263" s="26"/>
      <c r="G263" s="26"/>
      <c r="H263" s="26"/>
      <c r="I263" s="26"/>
      <c r="J263" s="26"/>
      <c r="K263" s="26"/>
      <c r="L263" s="26"/>
      <c r="M263" s="22"/>
      <c r="N263" s="39"/>
      <c r="O263" s="39"/>
      <c r="P263" s="39"/>
      <c r="Q263" s="39"/>
      <c r="R263" s="39"/>
      <c r="S263" s="28"/>
      <c r="T263" s="39"/>
      <c r="U263" s="39"/>
      <c r="V263" s="39"/>
      <c r="W263" s="39"/>
      <c r="X263" s="39"/>
    </row>
    <row r="264" spans="1:24" ht="25.5" x14ac:dyDescent="0.25">
      <c r="A264" s="512"/>
      <c r="B264" s="5" t="s">
        <v>473</v>
      </c>
      <c r="C264" s="8" t="s">
        <v>193</v>
      </c>
      <c r="D264" s="5" t="s">
        <v>243</v>
      </c>
      <c r="E264" s="26" t="e">
        <f>N264</f>
        <v>#REF!</v>
      </c>
      <c r="F264" s="26" t="e">
        <f>O264</f>
        <v>#REF!</v>
      </c>
      <c r="G264" s="26" t="e">
        <f>P264</f>
        <v>#REF!</v>
      </c>
      <c r="H264" s="26" t="e">
        <f>Q264</f>
        <v>#REF!</v>
      </c>
      <c r="I264" s="26" t="e">
        <f>SUM(E264:H264)-0.01</f>
        <v>#REF!</v>
      </c>
      <c r="J264" s="26" t="e">
        <f>I264*1.039</f>
        <v>#REF!</v>
      </c>
      <c r="K264" s="26" t="e">
        <f>J264*1.039</f>
        <v>#REF!</v>
      </c>
      <c r="L264" s="5" t="s">
        <v>473</v>
      </c>
      <c r="M264" s="8" t="s">
        <v>193</v>
      </c>
      <c r="N264" s="39" t="e">
        <f>N265+N268</f>
        <v>#REF!</v>
      </c>
      <c r="O264" s="39" t="e">
        <f>O265+O268</f>
        <v>#REF!</v>
      </c>
      <c r="P264" s="39" t="e">
        <f>P265+P268</f>
        <v>#REF!</v>
      </c>
      <c r="Q264" s="39" t="e">
        <f>Q265+Q268</f>
        <v>#REF!</v>
      </c>
      <c r="R264" s="39" t="e">
        <f t="shared" ref="R264:R269" si="28">SUM(N264:Q264)</f>
        <v>#REF!</v>
      </c>
      <c r="S264" s="28" t="s">
        <v>245</v>
      </c>
      <c r="T264" s="39"/>
      <c r="U264" s="39"/>
      <c r="V264" s="39"/>
      <c r="W264" s="39"/>
      <c r="X264" s="39"/>
    </row>
    <row r="265" spans="1:24" ht="18" hidden="1" customHeight="1" x14ac:dyDescent="0.25">
      <c r="A265" s="512"/>
      <c r="B265" s="5"/>
      <c r="C265" s="8"/>
      <c r="D265" s="5"/>
      <c r="E265" s="26"/>
      <c r="F265" s="26"/>
      <c r="G265" s="26"/>
      <c r="H265" s="26"/>
      <c r="I265" s="26"/>
      <c r="J265" s="26"/>
      <c r="K265" s="26"/>
      <c r="L265" s="515" t="s">
        <v>298</v>
      </c>
      <c r="M265" s="516"/>
      <c r="N265" s="39" t="e">
        <f>SUM(N266:N267)</f>
        <v>#REF!</v>
      </c>
      <c r="O265" s="39" t="e">
        <f>SUM(O266:O267)</f>
        <v>#REF!</v>
      </c>
      <c r="P265" s="39" t="e">
        <f>SUM(P266:P267)</f>
        <v>#REF!</v>
      </c>
      <c r="Q265" s="39" t="e">
        <f>SUM(Q266:Q267)</f>
        <v>#REF!</v>
      </c>
      <c r="R265" s="39" t="e">
        <f t="shared" si="28"/>
        <v>#REF!</v>
      </c>
      <c r="S265" s="28"/>
      <c r="T265" s="39"/>
      <c r="U265" s="39"/>
      <c r="V265" s="39"/>
      <c r="W265" s="39"/>
      <c r="X265" s="39"/>
    </row>
    <row r="266" spans="1:24" ht="31.5" hidden="1" customHeight="1" x14ac:dyDescent="0.25">
      <c r="A266" s="512"/>
      <c r="B266" s="5"/>
      <c r="C266" s="8"/>
      <c r="D266" s="5"/>
      <c r="E266" s="26"/>
      <c r="F266" s="26"/>
      <c r="G266" s="26"/>
      <c r="H266" s="26"/>
      <c r="I266" s="26"/>
      <c r="J266" s="26"/>
      <c r="K266" s="26"/>
      <c r="L266" s="26"/>
      <c r="M266" s="8" t="s">
        <v>474</v>
      </c>
      <c r="N266" s="39">
        <f>6000*3/1000</f>
        <v>18</v>
      </c>
      <c r="O266" s="39">
        <f>6000*3/1000</f>
        <v>18</v>
      </c>
      <c r="P266" s="39">
        <f>6000*3/1000</f>
        <v>18</v>
      </c>
      <c r="Q266" s="39">
        <f>6000*3/1000</f>
        <v>18</v>
      </c>
      <c r="R266" s="39">
        <f t="shared" si="28"/>
        <v>72</v>
      </c>
      <c r="S266" s="28"/>
      <c r="T266" s="39"/>
      <c r="U266" s="39"/>
      <c r="V266" s="39"/>
      <c r="W266" s="39"/>
      <c r="X266" s="39"/>
    </row>
    <row r="267" spans="1:24" ht="133.5" hidden="1" customHeight="1" x14ac:dyDescent="0.25">
      <c r="A267" s="512"/>
      <c r="B267" s="5"/>
      <c r="C267" s="8"/>
      <c r="D267" s="5"/>
      <c r="E267" s="26"/>
      <c r="F267" s="26"/>
      <c r="G267" s="26"/>
      <c r="H267" s="26"/>
      <c r="I267" s="26"/>
      <c r="J267" s="26"/>
      <c r="K267" s="26"/>
      <c r="L267" s="26"/>
      <c r="M267" s="4" t="s">
        <v>475</v>
      </c>
      <c r="N267" s="39" t="e">
        <f>#REF!/1000</f>
        <v>#REF!</v>
      </c>
      <c r="O267" s="39" t="e">
        <f>#REF!/1000</f>
        <v>#REF!</v>
      </c>
      <c r="P267" s="39" t="e">
        <f>#REF!/1000</f>
        <v>#REF!</v>
      </c>
      <c r="Q267" s="39" t="e">
        <f>#REF!/1000</f>
        <v>#REF!</v>
      </c>
      <c r="R267" s="39" t="e">
        <f t="shared" si="28"/>
        <v>#REF!</v>
      </c>
      <c r="S267" s="28"/>
      <c r="T267" s="39"/>
      <c r="U267" s="39"/>
      <c r="V267" s="39"/>
      <c r="W267" s="39"/>
      <c r="X267" s="39"/>
    </row>
    <row r="268" spans="1:24" ht="23.25" hidden="1" customHeight="1" x14ac:dyDescent="0.25">
      <c r="A268" s="512"/>
      <c r="B268" s="5"/>
      <c r="C268" s="8"/>
      <c r="D268" s="5"/>
      <c r="E268" s="26"/>
      <c r="F268" s="26"/>
      <c r="G268" s="26"/>
      <c r="H268" s="26"/>
      <c r="I268" s="26"/>
      <c r="J268" s="26"/>
      <c r="K268" s="26"/>
      <c r="L268" s="26"/>
      <c r="M268" s="8" t="s">
        <v>336</v>
      </c>
      <c r="N268" s="39" t="e">
        <f>N269</f>
        <v>#REF!</v>
      </c>
      <c r="O268" s="39" t="e">
        <f>O269</f>
        <v>#REF!</v>
      </c>
      <c r="P268" s="39" t="e">
        <f>P269</f>
        <v>#REF!</v>
      </c>
      <c r="Q268" s="39" t="e">
        <f>Q269</f>
        <v>#REF!</v>
      </c>
      <c r="R268" s="39" t="e">
        <f t="shared" si="28"/>
        <v>#REF!</v>
      </c>
      <c r="S268" s="28"/>
      <c r="T268" s="39"/>
      <c r="U268" s="39"/>
      <c r="V268" s="39"/>
      <c r="W268" s="39"/>
      <c r="X268" s="39"/>
    </row>
    <row r="269" spans="1:24" ht="152.25" hidden="1" customHeight="1" x14ac:dyDescent="0.25">
      <c r="A269" s="512"/>
      <c r="B269" s="5"/>
      <c r="C269" s="8"/>
      <c r="D269" s="5"/>
      <c r="E269" s="26"/>
      <c r="F269" s="26"/>
      <c r="G269" s="26"/>
      <c r="H269" s="26"/>
      <c r="I269" s="26"/>
      <c r="J269" s="26"/>
      <c r="K269" s="26"/>
      <c r="L269" s="26"/>
      <c r="M269" s="4" t="s">
        <v>476</v>
      </c>
      <c r="N269" s="39" t="e">
        <f>#REF!/1000</f>
        <v>#REF!</v>
      </c>
      <c r="O269" s="39" t="e">
        <f>#REF!/1000</f>
        <v>#REF!</v>
      </c>
      <c r="P269" s="39" t="e">
        <f>#REF!/1000</f>
        <v>#REF!</v>
      </c>
      <c r="Q269" s="39" t="e">
        <f>#REF!/1000</f>
        <v>#REF!</v>
      </c>
      <c r="R269" s="39" t="e">
        <f t="shared" si="28"/>
        <v>#REF!</v>
      </c>
      <c r="S269" s="28"/>
      <c r="T269" s="39"/>
      <c r="U269" s="39"/>
      <c r="V269" s="39"/>
      <c r="W269" s="39"/>
      <c r="X269" s="39"/>
    </row>
    <row r="270" spans="1:24" ht="12.75" x14ac:dyDescent="0.25">
      <c r="A270" s="512"/>
      <c r="B270" s="5" t="s">
        <v>477</v>
      </c>
      <c r="C270" s="8" t="s">
        <v>195</v>
      </c>
      <c r="D270" s="5" t="s">
        <v>243</v>
      </c>
      <c r="E270" s="26">
        <f>E271+E283+E295+E307+E326+E338+E341</f>
        <v>619.49711342000001</v>
      </c>
      <c r="F270" s="26">
        <f>F271+F283+F295+F307+F326+F338+F341+0.01</f>
        <v>336.55303133000001</v>
      </c>
      <c r="G270" s="26">
        <f>G271+G283+G295+G307+G326+G338+G341</f>
        <v>299.43745027894005</v>
      </c>
      <c r="H270" s="26">
        <f>H271+H283+H295+H307+H326+H338+H341</f>
        <v>645.44824137085993</v>
      </c>
      <c r="I270" s="26">
        <f>SUM(E270:H270)</f>
        <v>1900.9358363998001</v>
      </c>
      <c r="J270" s="26">
        <f>J271+J283+J295+J307+J326+J338+J341</f>
        <v>1975.653265682452</v>
      </c>
      <c r="K270" s="26">
        <f>K271+K283+K295+K307+K326+K338+K341+0.01</f>
        <v>2053.184018219506</v>
      </c>
      <c r="L270" s="26"/>
      <c r="M270" s="22"/>
      <c r="N270" s="39"/>
      <c r="O270" s="39"/>
      <c r="P270" s="39"/>
      <c r="Q270" s="39"/>
      <c r="R270" s="39"/>
      <c r="S270" s="28"/>
      <c r="T270" s="39"/>
      <c r="U270" s="39"/>
      <c r="V270" s="39"/>
      <c r="W270" s="39"/>
      <c r="X270" s="39"/>
    </row>
    <row r="271" spans="1:24" ht="89.25" x14ac:dyDescent="0.25">
      <c r="A271" s="512"/>
      <c r="B271" s="5" t="s">
        <v>478</v>
      </c>
      <c r="C271" s="8" t="s">
        <v>479</v>
      </c>
      <c r="D271" s="5" t="s">
        <v>243</v>
      </c>
      <c r="E271" s="26">
        <f>N271</f>
        <v>58.300589599999995</v>
      </c>
      <c r="F271" s="26">
        <f>O271</f>
        <v>44.947996870000004</v>
      </c>
      <c r="G271" s="26">
        <f>P271</f>
        <v>47.025058101820001</v>
      </c>
      <c r="H271" s="26">
        <f>Q271</f>
        <v>51.949225987980007</v>
      </c>
      <c r="I271" s="26">
        <f>SUM(E271:H271)+0.01</f>
        <v>202.23287055980001</v>
      </c>
      <c r="J271" s="26">
        <f>I271*1.04</f>
        <v>210.322185382192</v>
      </c>
      <c r="K271" s="26">
        <f>J271*1.04</f>
        <v>218.73507279747969</v>
      </c>
      <c r="L271" s="5" t="s">
        <v>478</v>
      </c>
      <c r="M271" s="8" t="s">
        <v>479</v>
      </c>
      <c r="N271" s="39">
        <f>N272+N273+N277+N280+N282</f>
        <v>58.300589599999995</v>
      </c>
      <c r="O271" s="39">
        <f>O272+O273+O277+O280+O282</f>
        <v>44.947996870000004</v>
      </c>
      <c r="P271" s="39">
        <f>P272+P273+P277+P280+P282</f>
        <v>47.025058101820001</v>
      </c>
      <c r="Q271" s="39">
        <f>Q272+Q273+Q277+Q280+Q282</f>
        <v>51.949225987980007</v>
      </c>
      <c r="R271" s="39">
        <f>SUM(N271:Q271)</f>
        <v>202.22287055980001</v>
      </c>
      <c r="S271" s="28" t="s">
        <v>480</v>
      </c>
      <c r="T271" s="39"/>
      <c r="U271" s="39"/>
      <c r="V271" s="39"/>
      <c r="W271" s="39"/>
      <c r="X271" s="39"/>
    </row>
    <row r="272" spans="1:24" ht="18" hidden="1" customHeight="1" x14ac:dyDescent="0.25">
      <c r="A272" s="512"/>
      <c r="B272" s="5"/>
      <c r="C272" s="8"/>
      <c r="D272" s="5"/>
      <c r="E272" s="26"/>
      <c r="F272" s="26"/>
      <c r="G272" s="26"/>
      <c r="H272" s="26"/>
      <c r="I272" s="26"/>
      <c r="J272" s="26"/>
      <c r="K272" s="26"/>
      <c r="L272" s="515" t="s">
        <v>13</v>
      </c>
      <c r="M272" s="516"/>
      <c r="N272" s="39"/>
      <c r="O272" s="39"/>
      <c r="P272" s="39"/>
      <c r="Q272" s="39"/>
      <c r="R272" s="39"/>
      <c r="S272" s="28"/>
      <c r="T272" s="39"/>
      <c r="U272" s="39"/>
      <c r="V272" s="39"/>
      <c r="W272" s="39"/>
      <c r="X272" s="39"/>
    </row>
    <row r="273" spans="1:24" ht="18" hidden="1" customHeight="1" x14ac:dyDescent="0.25">
      <c r="A273" s="512"/>
      <c r="B273" s="5"/>
      <c r="C273" s="8"/>
      <c r="D273" s="5"/>
      <c r="E273" s="26"/>
      <c r="F273" s="26"/>
      <c r="G273" s="26"/>
      <c r="H273" s="26"/>
      <c r="I273" s="26"/>
      <c r="J273" s="26"/>
      <c r="K273" s="26"/>
      <c r="L273" s="515" t="s">
        <v>256</v>
      </c>
      <c r="M273" s="516"/>
      <c r="N273" s="39">
        <f>SUM(N274:N276)</f>
        <v>3.6358068501460004</v>
      </c>
      <c r="O273" s="39">
        <f>SUM(O274:O276)</f>
        <v>1.5753415312880001</v>
      </c>
      <c r="P273" s="39">
        <f>SUM(P274:P276)</f>
        <v>2.3863080284301978</v>
      </c>
      <c r="Q273" s="39">
        <f>SUM(Q274:Q276)</f>
        <v>2.6262690906138779</v>
      </c>
      <c r="R273" s="39">
        <f>SUM(N273:Q273)</f>
        <v>10.223725500478077</v>
      </c>
      <c r="S273" s="28"/>
      <c r="T273" s="39"/>
      <c r="U273" s="39"/>
      <c r="V273" s="39"/>
      <c r="W273" s="39"/>
      <c r="X273" s="39"/>
    </row>
    <row r="274" spans="1:24" ht="18" hidden="1" customHeight="1" x14ac:dyDescent="0.25">
      <c r="A274" s="512"/>
      <c r="B274" s="5"/>
      <c r="C274" s="8"/>
      <c r="D274" s="5"/>
      <c r="E274" s="26"/>
      <c r="F274" s="26"/>
      <c r="G274" s="26"/>
      <c r="H274" s="26"/>
      <c r="I274" s="26"/>
      <c r="J274" s="26"/>
      <c r="K274" s="26"/>
      <c r="L274" s="26"/>
      <c r="M274" s="8" t="s">
        <v>340</v>
      </c>
      <c r="N274" s="39">
        <f>'[5]Дудинка, Ленина 2019'!$O$113/1000</f>
        <v>1.9417216101460002</v>
      </c>
      <c r="O274" s="39">
        <f>'[5]Дудинка, Ленина 2019'!$O$114/1000</f>
        <v>0.13899912128800002</v>
      </c>
      <c r="P274" s="39">
        <f>'[5]Дудинка, Ленина 2019'!$O$115/1000</f>
        <v>0.32903009203019801</v>
      </c>
      <c r="Q274" s="39">
        <f>'[5]Дудинка, Ленина 2019'!$O$116/1000</f>
        <v>0.84070324765387794</v>
      </c>
      <c r="R274" s="39">
        <f>SUM(N274:Q274)</f>
        <v>3.2504540711180763</v>
      </c>
      <c r="S274" s="28"/>
      <c r="T274" s="39">
        <f t="shared" ref="T274:W275" si="29">N274*20%</f>
        <v>0.38834432202920005</v>
      </c>
      <c r="U274" s="39">
        <f t="shared" si="29"/>
        <v>2.7799824257600005E-2</v>
      </c>
      <c r="V274" s="39">
        <f t="shared" si="29"/>
        <v>6.5806018406039599E-2</v>
      </c>
      <c r="W274" s="39">
        <f t="shared" si="29"/>
        <v>0.16814064953077559</v>
      </c>
      <c r="X274" s="39">
        <f>SUM(T274:W274)</f>
        <v>0.65009081422361525</v>
      </c>
    </row>
    <row r="275" spans="1:24" ht="18" hidden="1" customHeight="1" x14ac:dyDescent="0.25">
      <c r="A275" s="512"/>
      <c r="B275" s="5"/>
      <c r="C275" s="8"/>
      <c r="D275" s="5"/>
      <c r="E275" s="26"/>
      <c r="F275" s="26"/>
      <c r="G275" s="26"/>
      <c r="H275" s="26"/>
      <c r="I275" s="26"/>
      <c r="J275" s="26"/>
      <c r="K275" s="26"/>
      <c r="L275" s="26"/>
      <c r="M275" s="8" t="s">
        <v>341</v>
      </c>
      <c r="N275" s="39">
        <f>'[5]Дудинка, гостиница 2019'!$T$113/1000</f>
        <v>1.6940852399999999</v>
      </c>
      <c r="O275" s="39">
        <f>'[5]Дудинка, гостиница 2019'!$T$114/1000</f>
        <v>1.4363424100000002</v>
      </c>
      <c r="P275" s="39">
        <f>'[5]Дудинка, гостиница 2019'!$T$115/1000</f>
        <v>2.0572779363999998</v>
      </c>
      <c r="Q275" s="39">
        <f>'[5]Дудинка, гостиница 2019'!$T$116/1000</f>
        <v>1.7855658429599999</v>
      </c>
      <c r="R275" s="39">
        <f>SUM(N275:Q275)</f>
        <v>6.9732714293599996</v>
      </c>
      <c r="S275" s="28"/>
      <c r="T275" s="39">
        <f t="shared" si="29"/>
        <v>0.33881704800000001</v>
      </c>
      <c r="U275" s="39">
        <f t="shared" si="29"/>
        <v>0.28726848200000005</v>
      </c>
      <c r="V275" s="39">
        <f t="shared" si="29"/>
        <v>0.41145558727999998</v>
      </c>
      <c r="W275" s="39">
        <f t="shared" si="29"/>
        <v>0.35711316859199999</v>
      </c>
      <c r="X275" s="39">
        <f>SUM(T275:W275)</f>
        <v>1.3946542858719999</v>
      </c>
    </row>
    <row r="276" spans="1:24" ht="18" hidden="1" customHeight="1" x14ac:dyDescent="0.25">
      <c r="A276" s="512"/>
      <c r="B276" s="5"/>
      <c r="C276" s="8"/>
      <c r="D276" s="5"/>
      <c r="E276" s="26"/>
      <c r="F276" s="26"/>
      <c r="G276" s="26"/>
      <c r="H276" s="26"/>
      <c r="I276" s="26"/>
      <c r="J276" s="26"/>
      <c r="K276" s="26"/>
      <c r="L276" s="26"/>
      <c r="M276" s="8" t="s">
        <v>346</v>
      </c>
      <c r="N276" s="39"/>
      <c r="O276" s="39"/>
      <c r="P276" s="39"/>
      <c r="Q276" s="39"/>
      <c r="R276" s="39"/>
      <c r="S276" s="28"/>
      <c r="T276" s="39"/>
      <c r="U276" s="39"/>
      <c r="V276" s="39"/>
      <c r="W276" s="39"/>
      <c r="X276" s="39"/>
    </row>
    <row r="277" spans="1:24" ht="18" hidden="1" customHeight="1" x14ac:dyDescent="0.25">
      <c r="A277" s="512"/>
      <c r="B277" s="5"/>
      <c r="C277" s="8"/>
      <c r="D277" s="5"/>
      <c r="E277" s="26"/>
      <c r="F277" s="26"/>
      <c r="G277" s="26"/>
      <c r="H277" s="26"/>
      <c r="I277" s="26"/>
      <c r="J277" s="26"/>
      <c r="K277" s="26"/>
      <c r="L277" s="515" t="s">
        <v>59</v>
      </c>
      <c r="M277" s="516"/>
      <c r="N277" s="39">
        <f>SUM(N278:N279)</f>
        <v>38.055770100000004</v>
      </c>
      <c r="O277" s="39">
        <f>SUM(O278:O279)</f>
        <v>42.146072619999998</v>
      </c>
      <c r="P277" s="39">
        <f>SUM(P278:P279)</f>
        <v>41.789033527599997</v>
      </c>
      <c r="Q277" s="39">
        <f>SUM(Q278:Q279)</f>
        <v>42.107190383999999</v>
      </c>
      <c r="R277" s="39">
        <f t="shared" ref="R277:R283" si="30">SUM(N277:Q277)</f>
        <v>164.09806663160001</v>
      </c>
      <c r="S277" s="28"/>
      <c r="T277" s="39"/>
      <c r="U277" s="39"/>
      <c r="V277" s="39"/>
      <c r="W277" s="39"/>
      <c r="X277" s="39"/>
    </row>
    <row r="278" spans="1:24" ht="18" hidden="1" customHeight="1" x14ac:dyDescent="0.25">
      <c r="A278" s="512"/>
      <c r="B278" s="5"/>
      <c r="C278" s="8"/>
      <c r="D278" s="5"/>
      <c r="E278" s="26"/>
      <c r="F278" s="26"/>
      <c r="G278" s="26"/>
      <c r="H278" s="26"/>
      <c r="I278" s="26"/>
      <c r="J278" s="26"/>
      <c r="K278" s="26"/>
      <c r="L278" s="32"/>
      <c r="M278" s="13" t="s">
        <v>296</v>
      </c>
      <c r="N278" s="39">
        <f>'[5]Дудинка, гостиница 2019'!$J$113/1000</f>
        <v>20.526248800000001</v>
      </c>
      <c r="O278" s="39">
        <f>'[5]Дудинка, гостиница 2019'!$J$114/1000</f>
        <v>23.46687562</v>
      </c>
      <c r="P278" s="39">
        <f>'[5]Дудинка, гостиница 2019'!$J$115/1000</f>
        <v>24.0607401418</v>
      </c>
      <c r="Q278" s="39">
        <f>'[5]Дудинка, гостиница 2019'!$J$116/1000</f>
        <v>23.476600061399999</v>
      </c>
      <c r="R278" s="39">
        <f t="shared" si="30"/>
        <v>91.530464623200004</v>
      </c>
      <c r="S278" s="28"/>
      <c r="T278" s="39">
        <f t="shared" ref="T278:W279" si="31">N278*20%</f>
        <v>4.1052497600000004</v>
      </c>
      <c r="U278" s="39">
        <f t="shared" si="31"/>
        <v>4.6933751240000001</v>
      </c>
      <c r="V278" s="39">
        <f t="shared" si="31"/>
        <v>4.8121480283600002</v>
      </c>
      <c r="W278" s="39">
        <f t="shared" si="31"/>
        <v>4.6953200122799998</v>
      </c>
      <c r="X278" s="39">
        <f>SUM(T278:W278)</f>
        <v>18.306092924640001</v>
      </c>
    </row>
    <row r="279" spans="1:24" ht="18" hidden="1" customHeight="1" x14ac:dyDescent="0.25">
      <c r="A279" s="512"/>
      <c r="B279" s="5"/>
      <c r="C279" s="8"/>
      <c r="D279" s="5"/>
      <c r="E279" s="26"/>
      <c r="F279" s="26"/>
      <c r="G279" s="26"/>
      <c r="H279" s="26"/>
      <c r="I279" s="26"/>
      <c r="J279" s="26"/>
      <c r="K279" s="26"/>
      <c r="L279" s="32"/>
      <c r="M279" s="13" t="s">
        <v>297</v>
      </c>
      <c r="N279" s="39">
        <f>'[5]Дудинка, гостиница 2019'!$O$113/1000</f>
        <v>17.529521299999999</v>
      </c>
      <c r="O279" s="39">
        <f>'[5]Дудинка, гостиница 2019'!$O$114/1000</f>
        <v>18.679196999999998</v>
      </c>
      <c r="P279" s="39">
        <f>'[5]Дудинка, гостиница 2019'!$O$115/1000</f>
        <v>17.728293385800001</v>
      </c>
      <c r="Q279" s="39">
        <f>'[5]Дудинка, гостиница 2019'!$O$116/1000</f>
        <v>18.6305903226</v>
      </c>
      <c r="R279" s="39">
        <f t="shared" si="30"/>
        <v>72.567602008400002</v>
      </c>
      <c r="S279" s="28"/>
      <c r="T279" s="39">
        <f t="shared" si="31"/>
        <v>3.5059042599999999</v>
      </c>
      <c r="U279" s="39">
        <f t="shared" si="31"/>
        <v>3.7358393999999997</v>
      </c>
      <c r="V279" s="39">
        <f t="shared" si="31"/>
        <v>3.5456586771600005</v>
      </c>
      <c r="W279" s="39">
        <f t="shared" si="31"/>
        <v>3.7261180645200001</v>
      </c>
      <c r="X279" s="39">
        <f>SUM(T279:W279)</f>
        <v>14.513520401679999</v>
      </c>
    </row>
    <row r="280" spans="1:24" ht="18" hidden="1" customHeight="1" x14ac:dyDescent="0.25">
      <c r="A280" s="512"/>
      <c r="B280" s="5"/>
      <c r="C280" s="8"/>
      <c r="D280" s="5"/>
      <c r="E280" s="26"/>
      <c r="F280" s="26"/>
      <c r="G280" s="26"/>
      <c r="H280" s="26"/>
      <c r="I280" s="26"/>
      <c r="J280" s="26"/>
      <c r="K280" s="26"/>
      <c r="L280" s="515" t="s">
        <v>347</v>
      </c>
      <c r="M280" s="516"/>
      <c r="N280" s="39">
        <f>N281</f>
        <v>4.0518719999999994E-2</v>
      </c>
      <c r="O280" s="39">
        <f>O281</f>
        <v>4.0518719999999994E-2</v>
      </c>
      <c r="P280" s="39">
        <f>P281</f>
        <v>4.2139468800000003E-2</v>
      </c>
      <c r="Q280" s="39">
        <f>Q281</f>
        <v>4.2139468800000003E-2</v>
      </c>
      <c r="R280" s="39">
        <f t="shared" si="30"/>
        <v>0.16531637759999998</v>
      </c>
      <c r="S280" s="28"/>
      <c r="T280" s="39"/>
      <c r="U280" s="39"/>
      <c r="V280" s="39"/>
      <c r="W280" s="39"/>
      <c r="X280" s="39"/>
    </row>
    <row r="281" spans="1:24" ht="24" hidden="1" customHeight="1" x14ac:dyDescent="0.25">
      <c r="A281" s="512"/>
      <c r="B281" s="5"/>
      <c r="C281" s="8"/>
      <c r="D281" s="5"/>
      <c r="E281" s="26"/>
      <c r="F281" s="26"/>
      <c r="G281" s="26"/>
      <c r="H281" s="26"/>
      <c r="I281" s="26"/>
      <c r="J281" s="26"/>
      <c r="K281" s="26"/>
      <c r="L281" s="32"/>
      <c r="M281" s="8" t="s">
        <v>344</v>
      </c>
      <c r="N281" s="39">
        <f>'[5]Норильск 2018'!$AS$74/1000</f>
        <v>4.0518719999999994E-2</v>
      </c>
      <c r="O281" s="39">
        <f>'[5]Норильск 2018'!$AS$75/1000</f>
        <v>4.0518719999999994E-2</v>
      </c>
      <c r="P281" s="39">
        <f>'[5]Норильск 2018'!$AS$76/1000</f>
        <v>4.2139468800000003E-2</v>
      </c>
      <c r="Q281" s="39">
        <f>'[5]Норильск 2018'!$AS$77/1000</f>
        <v>4.2139468800000003E-2</v>
      </c>
      <c r="R281" s="39">
        <f t="shared" si="30"/>
        <v>0.16531637759999998</v>
      </c>
      <c r="S281" s="28"/>
      <c r="T281" s="39">
        <f t="shared" ref="T281:W282" si="32">N281*20%</f>
        <v>8.1037439999999995E-3</v>
      </c>
      <c r="U281" s="39">
        <f t="shared" si="32"/>
        <v>8.1037439999999995E-3</v>
      </c>
      <c r="V281" s="39">
        <f t="shared" si="32"/>
        <v>8.427893760000001E-3</v>
      </c>
      <c r="W281" s="39">
        <f t="shared" si="32"/>
        <v>8.427893760000001E-3</v>
      </c>
      <c r="X281" s="39">
        <f>SUM(T281:W281)</f>
        <v>3.3063275519999998E-2</v>
      </c>
    </row>
    <row r="282" spans="1:24" ht="18" hidden="1" customHeight="1" x14ac:dyDescent="0.25">
      <c r="A282" s="512"/>
      <c r="B282" s="5"/>
      <c r="C282" s="8"/>
      <c r="D282" s="5"/>
      <c r="E282" s="26"/>
      <c r="F282" s="26"/>
      <c r="G282" s="26"/>
      <c r="H282" s="26"/>
      <c r="I282" s="26"/>
      <c r="J282" s="26"/>
      <c r="K282" s="26"/>
      <c r="L282" s="515" t="s">
        <v>298</v>
      </c>
      <c r="M282" s="516"/>
      <c r="N282" s="39">
        <f>'[5]Дудинка, Ленина 2019'!$J$113/1000</f>
        <v>16.568493929853997</v>
      </c>
      <c r="O282" s="39">
        <f>'[5]Дудинка, Ленина 2019'!$J$114/1000</f>
        <v>1.1860639987119999</v>
      </c>
      <c r="P282" s="39">
        <f>'[5]Дудинка, Ленина 2019'!$J$115/1000</f>
        <v>2.8075770769898023</v>
      </c>
      <c r="Q282" s="39">
        <f>'[5]Дудинка, Ленина 2019'!$J$116/1000</f>
        <v>7.173627044566123</v>
      </c>
      <c r="R282" s="39">
        <f t="shared" si="30"/>
        <v>27.73576205012192</v>
      </c>
      <c r="S282" s="28"/>
      <c r="T282" s="39">
        <f t="shared" si="32"/>
        <v>3.3136987859707996</v>
      </c>
      <c r="U282" s="39">
        <f t="shared" si="32"/>
        <v>0.23721279974239998</v>
      </c>
      <c r="V282" s="39">
        <f t="shared" si="32"/>
        <v>0.56151541539796046</v>
      </c>
      <c r="W282" s="39">
        <f t="shared" si="32"/>
        <v>1.4347254089132246</v>
      </c>
      <c r="X282" s="39">
        <f>SUM(T282:W282)</f>
        <v>5.5471524100243839</v>
      </c>
    </row>
    <row r="283" spans="1:24" ht="89.25" x14ac:dyDescent="0.25">
      <c r="A283" s="512"/>
      <c r="B283" s="5" t="s">
        <v>481</v>
      </c>
      <c r="C283" s="8" t="s">
        <v>482</v>
      </c>
      <c r="D283" s="5" t="s">
        <v>243</v>
      </c>
      <c r="E283" s="26">
        <f>N283</f>
        <v>25.81373322</v>
      </c>
      <c r="F283" s="26">
        <f>O283</f>
        <v>21.136998720000001</v>
      </c>
      <c r="G283" s="26">
        <f>P283</f>
        <v>14.794607293800004</v>
      </c>
      <c r="H283" s="26">
        <f>Q283</f>
        <v>23.179756993800005</v>
      </c>
      <c r="I283" s="26">
        <f>SUM(E283:H283)-0.01</f>
        <v>84.915096227600003</v>
      </c>
      <c r="J283" s="26">
        <f>I283*1.04</f>
        <v>88.311700076704</v>
      </c>
      <c r="K283" s="26">
        <f>J283*1.04</f>
        <v>91.84416807977216</v>
      </c>
      <c r="L283" s="5" t="s">
        <v>481</v>
      </c>
      <c r="M283" s="8" t="s">
        <v>482</v>
      </c>
      <c r="N283" s="39">
        <f>N284+N285+N289+N292+N294</f>
        <v>25.81373322</v>
      </c>
      <c r="O283" s="39">
        <f>O284+O285+O289+O292+O294</f>
        <v>21.136998720000001</v>
      </c>
      <c r="P283" s="39">
        <f>P284+P285+P289+P292+P294</f>
        <v>14.794607293800004</v>
      </c>
      <c r="Q283" s="39">
        <f>Q284+Q285+Q289+Q292+Q294</f>
        <v>23.179756993800005</v>
      </c>
      <c r="R283" s="39">
        <f t="shared" si="30"/>
        <v>84.925096227600008</v>
      </c>
      <c r="S283" s="28" t="s">
        <v>480</v>
      </c>
      <c r="T283" s="39"/>
      <c r="U283" s="39"/>
      <c r="V283" s="39"/>
      <c r="W283" s="39"/>
      <c r="X283" s="39"/>
    </row>
    <row r="284" spans="1:24" ht="18" hidden="1" customHeight="1" x14ac:dyDescent="0.25">
      <c r="A284" s="512"/>
      <c r="B284" s="5"/>
      <c r="C284" s="8"/>
      <c r="D284" s="5"/>
      <c r="E284" s="26"/>
      <c r="F284" s="26"/>
      <c r="G284" s="26"/>
      <c r="H284" s="26"/>
      <c r="I284" s="26"/>
      <c r="J284" s="26"/>
      <c r="K284" s="26"/>
      <c r="L284" s="515" t="s">
        <v>13</v>
      </c>
      <c r="M284" s="516"/>
      <c r="N284" s="39"/>
      <c r="O284" s="39"/>
      <c r="P284" s="39"/>
      <c r="Q284" s="39"/>
      <c r="R284" s="39"/>
      <c r="S284" s="28"/>
      <c r="T284" s="39"/>
      <c r="U284" s="39"/>
      <c r="V284" s="39"/>
      <c r="W284" s="39"/>
      <c r="X284" s="39"/>
    </row>
    <row r="285" spans="1:24" ht="18" hidden="1" customHeight="1" x14ac:dyDescent="0.25">
      <c r="A285" s="512"/>
      <c r="B285" s="5"/>
      <c r="C285" s="8"/>
      <c r="D285" s="5"/>
      <c r="E285" s="26"/>
      <c r="F285" s="26"/>
      <c r="G285" s="26"/>
      <c r="H285" s="26"/>
      <c r="I285" s="26"/>
      <c r="J285" s="26"/>
      <c r="K285" s="26"/>
      <c r="L285" s="515" t="s">
        <v>256</v>
      </c>
      <c r="M285" s="516"/>
      <c r="N285" s="39">
        <f>SUM(N286:N288)</f>
        <v>3.0706509993750006</v>
      </c>
      <c r="O285" s="39">
        <f>SUM(O286:O288)</f>
        <v>1.9842489777000001</v>
      </c>
      <c r="P285" s="39">
        <f>SUM(P286:P288)</f>
        <v>2.5910394323010002</v>
      </c>
      <c r="Q285" s="39">
        <f>SUM(Q286:Q288)</f>
        <v>2.8235653358328001</v>
      </c>
      <c r="R285" s="39">
        <f>SUM(N285:Q285)</f>
        <v>10.469504745208802</v>
      </c>
      <c r="S285" s="28"/>
      <c r="T285" s="39"/>
      <c r="U285" s="39"/>
      <c r="V285" s="39"/>
      <c r="W285" s="39"/>
      <c r="X285" s="39"/>
    </row>
    <row r="286" spans="1:24" ht="18" hidden="1" customHeight="1" x14ac:dyDescent="0.25">
      <c r="A286" s="512"/>
      <c r="B286" s="5"/>
      <c r="C286" s="8"/>
      <c r="D286" s="5"/>
      <c r="E286" s="26"/>
      <c r="F286" s="26"/>
      <c r="G286" s="26"/>
      <c r="H286" s="26"/>
      <c r="I286" s="26"/>
      <c r="J286" s="26"/>
      <c r="K286" s="26"/>
      <c r="L286" s="26"/>
      <c r="M286" s="8" t="s">
        <v>340</v>
      </c>
      <c r="N286" s="39">
        <f>'[5]Дудинка, Ленина 2019'!$O$68/1000</f>
        <v>1.1768147493750003</v>
      </c>
      <c r="O286" s="39">
        <f>'[5]Дудинка, Ленина 2019'!$O$69/1000</f>
        <v>0.49873372769999996</v>
      </c>
      <c r="P286" s="39">
        <f>'[5]Дудинка, Ленина 2019'!$O$70/1000</f>
        <v>0.16473406730100001</v>
      </c>
      <c r="Q286" s="39">
        <f>'[5]Дудинка, Ленина 2019'!$O$71/1000</f>
        <v>0.82746192833280008</v>
      </c>
      <c r="R286" s="39">
        <f>SUM(N286:Q286)</f>
        <v>2.6677444727088004</v>
      </c>
      <c r="S286" s="28"/>
      <c r="T286" s="39">
        <f t="shared" ref="T286:W287" si="33">N286*20%</f>
        <v>0.23536294987500006</v>
      </c>
      <c r="U286" s="39">
        <f t="shared" si="33"/>
        <v>9.9746745540000001E-2</v>
      </c>
      <c r="V286" s="39">
        <f t="shared" si="33"/>
        <v>3.2946813460200002E-2</v>
      </c>
      <c r="W286" s="39">
        <f t="shared" si="33"/>
        <v>0.16549238566656002</v>
      </c>
      <c r="X286" s="39">
        <f>SUM(T286:W286)</f>
        <v>0.53354889454176013</v>
      </c>
    </row>
    <row r="287" spans="1:24" ht="18" hidden="1" customHeight="1" x14ac:dyDescent="0.25">
      <c r="A287" s="512"/>
      <c r="B287" s="5"/>
      <c r="C287" s="8"/>
      <c r="D287" s="5"/>
      <c r="E287" s="26"/>
      <c r="F287" s="26"/>
      <c r="G287" s="26"/>
      <c r="H287" s="26"/>
      <c r="I287" s="26"/>
      <c r="J287" s="26"/>
      <c r="K287" s="26"/>
      <c r="L287" s="26"/>
      <c r="M287" s="8" t="s">
        <v>341</v>
      </c>
      <c r="N287" s="39">
        <f>'[5]Дудинка, гостиница 2019'!$T$68/1000</f>
        <v>1.8938362500000003</v>
      </c>
      <c r="O287" s="39">
        <f>'[5]Дудинка, гостиница 2019'!$T$69/1000</f>
        <v>1.4855152500000002</v>
      </c>
      <c r="P287" s="39">
        <f>'[5]Дудинка, гостиница 2019'!$T$70/1000</f>
        <v>2.4263053650000002</v>
      </c>
      <c r="Q287" s="39">
        <f>'[5]Дудинка, гостиница 2019'!$T$71/1000</f>
        <v>1.9961034075000001</v>
      </c>
      <c r="R287" s="39">
        <f>SUM(N287:Q287)</f>
        <v>7.801760272500001</v>
      </c>
      <c r="S287" s="28"/>
      <c r="T287" s="39">
        <f t="shared" si="33"/>
        <v>0.37876725000000011</v>
      </c>
      <c r="U287" s="39">
        <f t="shared" si="33"/>
        <v>0.29710305000000004</v>
      </c>
      <c r="V287" s="39">
        <f t="shared" si="33"/>
        <v>0.48526107300000004</v>
      </c>
      <c r="W287" s="39">
        <f t="shared" si="33"/>
        <v>0.39922068150000006</v>
      </c>
      <c r="X287" s="39">
        <f>SUM(T287:W287)</f>
        <v>1.5603520545000003</v>
      </c>
    </row>
    <row r="288" spans="1:24" ht="18" hidden="1" customHeight="1" x14ac:dyDescent="0.25">
      <c r="A288" s="512"/>
      <c r="B288" s="5"/>
      <c r="C288" s="8"/>
      <c r="D288" s="5"/>
      <c r="E288" s="26"/>
      <c r="F288" s="26"/>
      <c r="G288" s="26"/>
      <c r="H288" s="26"/>
      <c r="I288" s="26"/>
      <c r="J288" s="26"/>
      <c r="K288" s="26"/>
      <c r="L288" s="26"/>
      <c r="M288" s="8" t="s">
        <v>346</v>
      </c>
      <c r="N288" s="39"/>
      <c r="O288" s="39"/>
      <c r="P288" s="39"/>
      <c r="Q288" s="39"/>
      <c r="R288" s="39"/>
      <c r="S288" s="28"/>
      <c r="T288" s="39"/>
      <c r="U288" s="39"/>
      <c r="V288" s="39"/>
      <c r="W288" s="39"/>
      <c r="X288" s="39"/>
    </row>
    <row r="289" spans="1:24" ht="18" hidden="1" customHeight="1" x14ac:dyDescent="0.25">
      <c r="A289" s="512"/>
      <c r="B289" s="5"/>
      <c r="C289" s="8"/>
      <c r="D289" s="5"/>
      <c r="E289" s="26"/>
      <c r="F289" s="26"/>
      <c r="G289" s="26"/>
      <c r="H289" s="26"/>
      <c r="I289" s="26"/>
      <c r="J289" s="26"/>
      <c r="K289" s="26"/>
      <c r="L289" s="515" t="s">
        <v>59</v>
      </c>
      <c r="M289" s="516"/>
      <c r="N289" s="39">
        <f>SUM(N290:N291)</f>
        <v>12.6923505</v>
      </c>
      <c r="O289" s="39">
        <f>SUM(O290:O291)</f>
        <v>14.888007750000002</v>
      </c>
      <c r="P289" s="39">
        <f>SUM(P290:P291)</f>
        <v>10.788443610000002</v>
      </c>
      <c r="Q289" s="39">
        <f>SUM(Q290:Q291)</f>
        <v>13.286084485500002</v>
      </c>
      <c r="R289" s="39">
        <f t="shared" ref="R289:R295" si="34">SUM(N289:Q289)</f>
        <v>51.654886345500003</v>
      </c>
      <c r="S289" s="28"/>
      <c r="T289" s="39"/>
      <c r="U289" s="39"/>
      <c r="V289" s="39"/>
      <c r="W289" s="39"/>
      <c r="X289" s="39"/>
    </row>
    <row r="290" spans="1:24" ht="18" hidden="1" customHeight="1" x14ac:dyDescent="0.25">
      <c r="A290" s="512"/>
      <c r="B290" s="5"/>
      <c r="C290" s="8"/>
      <c r="D290" s="5"/>
      <c r="E290" s="26"/>
      <c r="F290" s="26"/>
      <c r="G290" s="26"/>
      <c r="H290" s="26"/>
      <c r="I290" s="26"/>
      <c r="J290" s="26"/>
      <c r="K290" s="26"/>
      <c r="L290" s="32"/>
      <c r="M290" s="13" t="s">
        <v>296</v>
      </c>
      <c r="N290" s="39">
        <f>'[5]Дудинка, гостиница 2019'!$J$68/1000</f>
        <v>4.5807780000000005</v>
      </c>
      <c r="O290" s="39">
        <f>'[5]Дудинка, гостиница 2019'!$J$69/1000</f>
        <v>5.9350852500000002</v>
      </c>
      <c r="P290" s="39">
        <f>'[5]Дудинка, гостиница 2019'!$J$70/1000</f>
        <v>4.1241017400000004</v>
      </c>
      <c r="Q290" s="39">
        <f>'[5]Дудинка, гостиница 2019'!$J$71/1000</f>
        <v>5.0693112854999995</v>
      </c>
      <c r="R290" s="39">
        <f t="shared" si="34"/>
        <v>19.709276275500002</v>
      </c>
      <c r="S290" s="28"/>
      <c r="T290" s="39">
        <f t="shared" ref="T290:W291" si="35">N290*20%</f>
        <v>0.91615560000000018</v>
      </c>
      <c r="U290" s="39">
        <f t="shared" si="35"/>
        <v>1.1870170500000001</v>
      </c>
      <c r="V290" s="39">
        <f t="shared" si="35"/>
        <v>0.82482034800000015</v>
      </c>
      <c r="W290" s="39">
        <f t="shared" si="35"/>
        <v>1.0138622571</v>
      </c>
      <c r="X290" s="39">
        <f>SUM(T290:W290)</f>
        <v>3.9418552551000006</v>
      </c>
    </row>
    <row r="291" spans="1:24" ht="18" hidden="1" customHeight="1" x14ac:dyDescent="0.25">
      <c r="A291" s="512"/>
      <c r="B291" s="5"/>
      <c r="C291" s="8"/>
      <c r="D291" s="5"/>
      <c r="E291" s="26"/>
      <c r="F291" s="26"/>
      <c r="G291" s="26"/>
      <c r="H291" s="26"/>
      <c r="I291" s="26"/>
      <c r="J291" s="26"/>
      <c r="K291" s="26"/>
      <c r="L291" s="32"/>
      <c r="M291" s="13" t="s">
        <v>297</v>
      </c>
      <c r="N291" s="39">
        <f>'[5]Дудинка, гостиница 2019'!$O$68/1000</f>
        <v>8.1115724999999994</v>
      </c>
      <c r="O291" s="39">
        <f>'[5]Дудинка, гостиница 2019'!$O$69/1000</f>
        <v>8.9529225000000014</v>
      </c>
      <c r="P291" s="39">
        <f>'[5]Дудинка, гостиница 2019'!$O$70/1000</f>
        <v>6.6643418700000003</v>
      </c>
      <c r="Q291" s="39">
        <f>'[5]Дудинка, гостиница 2019'!$O$71/1000</f>
        <v>8.2167732000000022</v>
      </c>
      <c r="R291" s="39">
        <f t="shared" si="34"/>
        <v>31.945610070000004</v>
      </c>
      <c r="S291" s="28"/>
      <c r="T291" s="39">
        <f t="shared" si="35"/>
        <v>1.6223144999999999</v>
      </c>
      <c r="U291" s="39">
        <f t="shared" si="35"/>
        <v>1.7905845000000005</v>
      </c>
      <c r="V291" s="39">
        <f t="shared" si="35"/>
        <v>1.3328683740000002</v>
      </c>
      <c r="W291" s="39">
        <f t="shared" si="35"/>
        <v>1.6433546400000005</v>
      </c>
      <c r="X291" s="39">
        <f>SUM(T291:W291)</f>
        <v>6.3891220140000016</v>
      </c>
    </row>
    <row r="292" spans="1:24" ht="33.75" hidden="1" customHeight="1" x14ac:dyDescent="0.25">
      <c r="A292" s="512"/>
      <c r="B292" s="5"/>
      <c r="C292" s="8"/>
      <c r="D292" s="5"/>
      <c r="E292" s="26"/>
      <c r="F292" s="26"/>
      <c r="G292" s="26"/>
      <c r="H292" s="26"/>
      <c r="I292" s="26"/>
      <c r="J292" s="26"/>
      <c r="K292" s="26"/>
      <c r="L292" s="515" t="s">
        <v>347</v>
      </c>
      <c r="M292" s="516"/>
      <c r="N292" s="39">
        <f>N293</f>
        <v>9.1027199999999982E-3</v>
      </c>
      <c r="O292" s="39">
        <f>O293</f>
        <v>9.1027199999999982E-3</v>
      </c>
      <c r="P292" s="39">
        <f>P293</f>
        <v>9.4668287999999986E-3</v>
      </c>
      <c r="Q292" s="39">
        <f>Q293</f>
        <v>9.4668287999999986E-3</v>
      </c>
      <c r="R292" s="39">
        <f t="shared" si="34"/>
        <v>3.7139097599999997E-2</v>
      </c>
      <c r="S292" s="28"/>
      <c r="T292" s="39"/>
      <c r="U292" s="39"/>
      <c r="V292" s="39"/>
      <c r="W292" s="39"/>
      <c r="X292" s="39"/>
    </row>
    <row r="293" spans="1:24" ht="33.75" hidden="1" customHeight="1" x14ac:dyDescent="0.25">
      <c r="A293" s="512"/>
      <c r="B293" s="5"/>
      <c r="C293" s="8"/>
      <c r="D293" s="5"/>
      <c r="E293" s="26"/>
      <c r="F293" s="26"/>
      <c r="G293" s="26"/>
      <c r="H293" s="26"/>
      <c r="I293" s="26"/>
      <c r="J293" s="26"/>
      <c r="K293" s="26"/>
      <c r="L293" s="32"/>
      <c r="M293" s="8" t="s">
        <v>344</v>
      </c>
      <c r="N293" s="39">
        <f>'[5]Норильск 2018'!$AK$74/1000</f>
        <v>9.1027199999999982E-3</v>
      </c>
      <c r="O293" s="39">
        <f>'[5]Норильск 2018'!$AK$75/1000</f>
        <v>9.1027199999999982E-3</v>
      </c>
      <c r="P293" s="39">
        <f>'[5]Норильск 2018'!$AK$76/1000</f>
        <v>9.4668287999999986E-3</v>
      </c>
      <c r="Q293" s="39">
        <f>'[5]Норильск 2018'!$AK$77/1000</f>
        <v>9.4668287999999986E-3</v>
      </c>
      <c r="R293" s="39">
        <f t="shared" si="34"/>
        <v>3.7139097599999997E-2</v>
      </c>
      <c r="S293" s="28"/>
      <c r="T293" s="39">
        <f t="shared" ref="T293:W294" si="36">N293*20%</f>
        <v>1.8205439999999997E-3</v>
      </c>
      <c r="U293" s="39">
        <f t="shared" si="36"/>
        <v>1.8205439999999997E-3</v>
      </c>
      <c r="V293" s="39">
        <f t="shared" si="36"/>
        <v>1.8933657599999997E-3</v>
      </c>
      <c r="W293" s="39">
        <f t="shared" si="36"/>
        <v>1.8933657599999997E-3</v>
      </c>
      <c r="X293" s="39">
        <f>SUM(T293:W293)</f>
        <v>7.4278195199999984E-3</v>
      </c>
    </row>
    <row r="294" spans="1:24" ht="18" hidden="1" customHeight="1" x14ac:dyDescent="0.25">
      <c r="A294" s="512"/>
      <c r="B294" s="5"/>
      <c r="C294" s="8"/>
      <c r="D294" s="5"/>
      <c r="E294" s="26"/>
      <c r="F294" s="26"/>
      <c r="G294" s="26"/>
      <c r="H294" s="26"/>
      <c r="I294" s="26"/>
      <c r="J294" s="26"/>
      <c r="K294" s="26"/>
      <c r="L294" s="515" t="s">
        <v>298</v>
      </c>
      <c r="M294" s="516"/>
      <c r="N294" s="39">
        <f>'[5]Дудинка, Ленина 2019'!$J$68/1000</f>
        <v>10.041629000624999</v>
      </c>
      <c r="O294" s="39">
        <f>'[5]Дудинка, Ленина 2019'!$J$69/1000</f>
        <v>4.2556392722999989</v>
      </c>
      <c r="P294" s="39">
        <f>'[5]Дудинка, Ленина 2019'!$J$70/1000</f>
        <v>1.4056574226990002</v>
      </c>
      <c r="Q294" s="39">
        <f>'[5]Дудинка, Ленина 2019'!$J$71/1000</f>
        <v>7.0606403436672007</v>
      </c>
      <c r="R294" s="39">
        <f t="shared" si="34"/>
        <v>22.763566039291199</v>
      </c>
      <c r="S294" s="28"/>
      <c r="T294" s="39">
        <f t="shared" si="36"/>
        <v>2.0083258001249997</v>
      </c>
      <c r="U294" s="39">
        <f t="shared" si="36"/>
        <v>0.85112785445999983</v>
      </c>
      <c r="V294" s="39">
        <f t="shared" si="36"/>
        <v>0.28113148453980003</v>
      </c>
      <c r="W294" s="39">
        <f t="shared" si="36"/>
        <v>1.4121280687334403</v>
      </c>
      <c r="X294" s="39">
        <f>SUM(T294:W294)</f>
        <v>4.5527132078582397</v>
      </c>
    </row>
    <row r="295" spans="1:24" ht="12.75" x14ac:dyDescent="0.25">
      <c r="A295" s="512"/>
      <c r="B295" s="5" t="s">
        <v>483</v>
      </c>
      <c r="C295" s="8" t="s">
        <v>484</v>
      </c>
      <c r="D295" s="5" t="s">
        <v>243</v>
      </c>
      <c r="E295" s="26">
        <f>N295</f>
        <v>88.65536019999999</v>
      </c>
      <c r="F295" s="26">
        <f>O295</f>
        <v>69.570555339999984</v>
      </c>
      <c r="G295" s="26">
        <f>P295</f>
        <v>65.558381813320011</v>
      </c>
      <c r="H295" s="26">
        <f>Q295</f>
        <v>79.173135319080004</v>
      </c>
      <c r="I295" s="26">
        <f>SUM(E295:H295)</f>
        <v>302.95743267239999</v>
      </c>
      <c r="J295" s="26">
        <f>I295*1.04</f>
        <v>315.075729979296</v>
      </c>
      <c r="K295" s="26">
        <f>J295*1.04</f>
        <v>327.67875917846783</v>
      </c>
      <c r="L295" s="5" t="s">
        <v>483</v>
      </c>
      <c r="M295" s="8" t="s">
        <v>484</v>
      </c>
      <c r="N295" s="39">
        <f>N296+N297+N301+N304+N306</f>
        <v>88.65536019999999</v>
      </c>
      <c r="O295" s="39">
        <f>O296+O297+O301+O304+O306</f>
        <v>69.570555339999984</v>
      </c>
      <c r="P295" s="39">
        <f>P296+P297+P301+P304+P306</f>
        <v>65.558381813320011</v>
      </c>
      <c r="Q295" s="39">
        <f>Q296+Q297+Q301+Q304+Q306</f>
        <v>79.173135319080004</v>
      </c>
      <c r="R295" s="39">
        <f t="shared" si="34"/>
        <v>302.95743267239999</v>
      </c>
      <c r="S295" s="28"/>
      <c r="T295" s="39"/>
      <c r="U295" s="39"/>
      <c r="V295" s="39"/>
      <c r="W295" s="39"/>
      <c r="X295" s="39"/>
    </row>
    <row r="296" spans="1:24" ht="18" hidden="1" customHeight="1" x14ac:dyDescent="0.25">
      <c r="A296" s="512"/>
      <c r="B296" s="5"/>
      <c r="C296" s="8"/>
      <c r="D296" s="5"/>
      <c r="E296" s="26"/>
      <c r="F296" s="26"/>
      <c r="G296" s="26"/>
      <c r="H296" s="26"/>
      <c r="I296" s="26"/>
      <c r="J296" s="26"/>
      <c r="K296" s="26"/>
      <c r="L296" s="515" t="s">
        <v>13</v>
      </c>
      <c r="M296" s="516"/>
      <c r="N296" s="39"/>
      <c r="O296" s="39"/>
      <c r="P296" s="39"/>
      <c r="Q296" s="39"/>
      <c r="R296" s="39"/>
      <c r="S296" s="28"/>
      <c r="T296" s="39"/>
      <c r="U296" s="39"/>
      <c r="V296" s="39"/>
      <c r="W296" s="39"/>
      <c r="X296" s="39"/>
    </row>
    <row r="297" spans="1:24" ht="18" hidden="1" customHeight="1" x14ac:dyDescent="0.25">
      <c r="A297" s="512"/>
      <c r="B297" s="5"/>
      <c r="C297" s="8"/>
      <c r="D297" s="5"/>
      <c r="E297" s="26"/>
      <c r="F297" s="26"/>
      <c r="G297" s="26"/>
      <c r="H297" s="26"/>
      <c r="I297" s="26"/>
      <c r="J297" s="26"/>
      <c r="K297" s="26"/>
      <c r="L297" s="515" t="s">
        <v>256</v>
      </c>
      <c r="M297" s="516"/>
      <c r="N297" s="39">
        <f>SUM(N298:N300)</f>
        <v>6.9712433587059994</v>
      </c>
      <c r="O297" s="39">
        <f>SUM(O298:O300)</f>
        <v>3.6660921894960001</v>
      </c>
      <c r="P297" s="39">
        <f>SUM(P298:P300)</f>
        <v>5.1438924269390691</v>
      </c>
      <c r="Q297" s="39">
        <f>SUM(Q298:Q300)</f>
        <v>5.6334793132563004</v>
      </c>
      <c r="R297" s="39">
        <f>SUM(N297:Q297)</f>
        <v>21.414707288397366</v>
      </c>
      <c r="S297" s="28"/>
      <c r="T297" s="39"/>
      <c r="U297" s="39"/>
      <c r="V297" s="39"/>
      <c r="W297" s="39"/>
      <c r="X297" s="39"/>
    </row>
    <row r="298" spans="1:24" ht="18" hidden="1" customHeight="1" x14ac:dyDescent="0.25">
      <c r="A298" s="512"/>
      <c r="B298" s="5"/>
      <c r="C298" s="8"/>
      <c r="D298" s="5"/>
      <c r="E298" s="26"/>
      <c r="F298" s="26"/>
      <c r="G298" s="26"/>
      <c r="H298" s="26"/>
      <c r="I298" s="26"/>
      <c r="J298" s="26"/>
      <c r="K298" s="26"/>
      <c r="L298" s="26"/>
      <c r="M298" s="8" t="s">
        <v>340</v>
      </c>
      <c r="N298" s="39">
        <f>'[5]Дудинка, Ленина 2019'!$O$135/1000</f>
        <v>3.2657730187060001</v>
      </c>
      <c r="O298" s="39">
        <f>'[5]Дудинка, Ленина 2019'!$O$136/1000</f>
        <v>0.64305766949599996</v>
      </c>
      <c r="P298" s="39">
        <f>'[5]Дудинка, Ленина 2019'!$O$137/1000</f>
        <v>0.51915017293906807</v>
      </c>
      <c r="Q298" s="39">
        <f>'[5]Дудинка, Ленина 2019'!$O$138/1000</f>
        <v>1.7279135748963004</v>
      </c>
      <c r="R298" s="39">
        <f>SUM(N298:Q298)</f>
        <v>6.1558944360373689</v>
      </c>
      <c r="S298" s="28"/>
      <c r="T298" s="39">
        <f t="shared" ref="T298:W299" si="37">N298*20%</f>
        <v>0.65315460374120005</v>
      </c>
      <c r="U298" s="39">
        <f t="shared" si="37"/>
        <v>0.12861153389919999</v>
      </c>
      <c r="V298" s="39">
        <f t="shared" si="37"/>
        <v>0.10383003458781362</v>
      </c>
      <c r="W298" s="39">
        <f t="shared" si="37"/>
        <v>0.34558271497926007</v>
      </c>
      <c r="X298" s="39">
        <f>SUM(T298:W298)</f>
        <v>1.2311788872074736</v>
      </c>
    </row>
    <row r="299" spans="1:24" ht="18" hidden="1" customHeight="1" x14ac:dyDescent="0.25">
      <c r="A299" s="512"/>
      <c r="B299" s="5"/>
      <c r="C299" s="8"/>
      <c r="D299" s="5"/>
      <c r="E299" s="26"/>
      <c r="F299" s="26"/>
      <c r="G299" s="26"/>
      <c r="H299" s="26"/>
      <c r="I299" s="26"/>
      <c r="J299" s="26"/>
      <c r="K299" s="26"/>
      <c r="L299" s="26"/>
      <c r="M299" s="8" t="s">
        <v>341</v>
      </c>
      <c r="N299" s="39">
        <f>'[5]Дудинка, гостиница 2019'!$T$135/1000</f>
        <v>3.7054703399999998</v>
      </c>
      <c r="O299" s="39">
        <f>'[5]Дудинка, гостиница 2019'!$T$136/1000</f>
        <v>3.0230345199999999</v>
      </c>
      <c r="P299" s="39">
        <f>'[5]Дудинка, гостиница 2019'!$T$137/1000</f>
        <v>4.6247422540000009</v>
      </c>
      <c r="Q299" s="39">
        <f>'[5]Дудинка, гостиница 2019'!$T$138/1000</f>
        <v>3.9055657383600004</v>
      </c>
      <c r="R299" s="39">
        <f>SUM(N299:Q299)</f>
        <v>15.25881285236</v>
      </c>
      <c r="S299" s="28"/>
      <c r="T299" s="39">
        <f t="shared" si="37"/>
        <v>0.74109406799999999</v>
      </c>
      <c r="U299" s="39">
        <f t="shared" si="37"/>
        <v>0.60460690400000006</v>
      </c>
      <c r="V299" s="39">
        <f t="shared" si="37"/>
        <v>0.92494845080000021</v>
      </c>
      <c r="W299" s="39">
        <f t="shared" si="37"/>
        <v>0.78111314767200013</v>
      </c>
      <c r="X299" s="39">
        <f>SUM(T299:W299)</f>
        <v>3.0517625704720004</v>
      </c>
    </row>
    <row r="300" spans="1:24" ht="18" hidden="1" customHeight="1" x14ac:dyDescent="0.25">
      <c r="A300" s="512"/>
      <c r="B300" s="5"/>
      <c r="C300" s="8"/>
      <c r="D300" s="5"/>
      <c r="E300" s="26"/>
      <c r="F300" s="26"/>
      <c r="G300" s="26"/>
      <c r="H300" s="26"/>
      <c r="I300" s="26"/>
      <c r="J300" s="26"/>
      <c r="K300" s="26"/>
      <c r="L300" s="26"/>
      <c r="M300" s="8" t="s">
        <v>346</v>
      </c>
      <c r="N300" s="39"/>
      <c r="O300" s="39"/>
      <c r="P300" s="39"/>
      <c r="Q300" s="39"/>
      <c r="R300" s="39"/>
      <c r="S300" s="28"/>
      <c r="T300" s="39"/>
      <c r="U300" s="39"/>
      <c r="V300" s="39"/>
      <c r="W300" s="39"/>
      <c r="X300" s="39"/>
    </row>
    <row r="301" spans="1:24" ht="18" hidden="1" customHeight="1" x14ac:dyDescent="0.25">
      <c r="A301" s="512"/>
      <c r="B301" s="5"/>
      <c r="C301" s="8"/>
      <c r="D301" s="5"/>
      <c r="E301" s="26"/>
      <c r="F301" s="26"/>
      <c r="G301" s="26"/>
      <c r="H301" s="26"/>
      <c r="I301" s="26"/>
      <c r="J301" s="26"/>
      <c r="K301" s="26"/>
      <c r="L301" s="515" t="s">
        <v>59</v>
      </c>
      <c r="M301" s="516"/>
      <c r="N301" s="39">
        <f>SUM(N302:N303)</f>
        <v>53.764311919999997</v>
      </c>
      <c r="O301" s="39">
        <f>SUM(O302:O303)</f>
        <v>60.363995779999996</v>
      </c>
      <c r="P301" s="39">
        <f>SUM(P302:P303)</f>
        <v>55.929177744000008</v>
      </c>
      <c r="Q301" s="39">
        <f>SUM(Q302:Q303)</f>
        <v>58.740101073720005</v>
      </c>
      <c r="R301" s="39">
        <f t="shared" ref="R301:R307" si="38">SUM(N301:Q301)</f>
        <v>228.79758651772002</v>
      </c>
      <c r="S301" s="28"/>
      <c r="T301" s="39"/>
      <c r="U301" s="39"/>
      <c r="V301" s="39"/>
      <c r="W301" s="39"/>
      <c r="X301" s="39"/>
    </row>
    <row r="302" spans="1:24" ht="18" hidden="1" customHeight="1" x14ac:dyDescent="0.25">
      <c r="A302" s="512"/>
      <c r="B302" s="5"/>
      <c r="C302" s="8"/>
      <c r="D302" s="5"/>
      <c r="E302" s="26"/>
      <c r="F302" s="26"/>
      <c r="G302" s="26"/>
      <c r="H302" s="26"/>
      <c r="I302" s="26"/>
      <c r="J302" s="26"/>
      <c r="K302" s="26"/>
      <c r="L302" s="32"/>
      <c r="M302" s="13" t="s">
        <v>296</v>
      </c>
      <c r="N302" s="39">
        <f>'[5]Дудинка, гостиница 2019'!$J$135/1000</f>
        <v>26.762378720000001</v>
      </c>
      <c r="O302" s="39">
        <f>'[5]Дудинка, гостиница 2019'!$J$136/1000</f>
        <v>31.28567838</v>
      </c>
      <c r="P302" s="39">
        <f>'[5]Дудинка, гостиница 2019'!$J$137/1000</f>
        <v>30.140905568400004</v>
      </c>
      <c r="Q302" s="39">
        <f>'[5]Дудинка, гостиница 2019'!$J$138/1000</f>
        <v>30.441333702120005</v>
      </c>
      <c r="R302" s="39">
        <f t="shared" si="38"/>
        <v>118.63029637052001</v>
      </c>
      <c r="S302" s="28"/>
      <c r="T302" s="39">
        <f t="shared" ref="T302:W303" si="39">N302*20%</f>
        <v>5.3524757440000004</v>
      </c>
      <c r="U302" s="39">
        <f t="shared" si="39"/>
        <v>6.2571356760000008</v>
      </c>
      <c r="V302" s="39">
        <f t="shared" si="39"/>
        <v>6.0281811136800014</v>
      </c>
      <c r="W302" s="39">
        <f t="shared" si="39"/>
        <v>6.0882667404240012</v>
      </c>
      <c r="X302" s="39">
        <f>SUM(T302:W302)</f>
        <v>23.726059274104003</v>
      </c>
    </row>
    <row r="303" spans="1:24" ht="18" hidden="1" customHeight="1" x14ac:dyDescent="0.25">
      <c r="A303" s="512"/>
      <c r="B303" s="5"/>
      <c r="C303" s="8"/>
      <c r="D303" s="5"/>
      <c r="E303" s="26"/>
      <c r="F303" s="26"/>
      <c r="G303" s="26"/>
      <c r="H303" s="26"/>
      <c r="I303" s="26"/>
      <c r="J303" s="26"/>
      <c r="K303" s="26"/>
      <c r="L303" s="32"/>
      <c r="M303" s="13" t="s">
        <v>297</v>
      </c>
      <c r="N303" s="39">
        <f>'[5]Дудинка, гостиница 2019'!$O$135/1000</f>
        <v>27.001933199999996</v>
      </c>
      <c r="O303" s="39">
        <f>'[5]Дудинка, гостиница 2019'!$O$136/1000</f>
        <v>29.0783174</v>
      </c>
      <c r="P303" s="39">
        <f>'[5]Дудинка, гостиница 2019'!$O$137/1000</f>
        <v>25.788272175600003</v>
      </c>
      <c r="Q303" s="39">
        <f>'[5]Дудинка, гостиница 2019'!$O$138/1000</f>
        <v>28.2987673716</v>
      </c>
      <c r="R303" s="39">
        <f t="shared" si="38"/>
        <v>110.16729014719999</v>
      </c>
      <c r="S303" s="28"/>
      <c r="T303" s="39">
        <f t="shared" si="39"/>
        <v>5.4003866399999998</v>
      </c>
      <c r="U303" s="39">
        <f t="shared" si="39"/>
        <v>5.8156634800000004</v>
      </c>
      <c r="V303" s="39">
        <f t="shared" si="39"/>
        <v>5.1576544351200013</v>
      </c>
      <c r="W303" s="39">
        <f t="shared" si="39"/>
        <v>5.6597534743200004</v>
      </c>
      <c r="X303" s="39">
        <f>SUM(T303:W303)</f>
        <v>22.033458029439998</v>
      </c>
    </row>
    <row r="304" spans="1:24" ht="18" hidden="1" customHeight="1" x14ac:dyDescent="0.25">
      <c r="A304" s="512"/>
      <c r="B304" s="5"/>
      <c r="C304" s="8"/>
      <c r="D304" s="5"/>
      <c r="E304" s="26"/>
      <c r="F304" s="26"/>
      <c r="G304" s="26"/>
      <c r="H304" s="26"/>
      <c r="I304" s="26"/>
      <c r="J304" s="26"/>
      <c r="K304" s="26"/>
      <c r="L304" s="515" t="s">
        <v>347</v>
      </c>
      <c r="M304" s="516"/>
      <c r="N304" s="39">
        <f>N305</f>
        <v>5.3327999999999987E-2</v>
      </c>
      <c r="O304" s="39">
        <f>O305</f>
        <v>5.3327999999999987E-2</v>
      </c>
      <c r="P304" s="39">
        <f>P305</f>
        <v>5.5461119999999996E-2</v>
      </c>
      <c r="Q304" s="39">
        <f>Q305</f>
        <v>5.5461119999999996E-2</v>
      </c>
      <c r="R304" s="39">
        <f t="shared" si="38"/>
        <v>0.21757823999999998</v>
      </c>
      <c r="S304" s="28"/>
      <c r="T304" s="39"/>
      <c r="U304" s="39"/>
      <c r="V304" s="39"/>
      <c r="W304" s="39"/>
      <c r="X304" s="39"/>
    </row>
    <row r="305" spans="1:24" ht="24.75" hidden="1" customHeight="1" x14ac:dyDescent="0.25">
      <c r="A305" s="512"/>
      <c r="B305" s="5"/>
      <c r="C305" s="8"/>
      <c r="D305" s="5"/>
      <c r="E305" s="26"/>
      <c r="F305" s="26"/>
      <c r="G305" s="26"/>
      <c r="H305" s="26"/>
      <c r="I305" s="26"/>
      <c r="J305" s="26"/>
      <c r="K305" s="26"/>
      <c r="L305" s="32"/>
      <c r="M305" s="8" t="s">
        <v>344</v>
      </c>
      <c r="N305" s="39">
        <f>'[5]Норильск 2018'!$BA$74/1000</f>
        <v>5.3327999999999987E-2</v>
      </c>
      <c r="O305" s="39">
        <f>'[5]Норильск 2018'!$BA$75/1000</f>
        <v>5.3327999999999987E-2</v>
      </c>
      <c r="P305" s="39">
        <f>'[5]Норильск 2018'!$BA$76/1000</f>
        <v>5.5461119999999996E-2</v>
      </c>
      <c r="Q305" s="39">
        <f>'[5]Норильск 2018'!$BA$77/1000</f>
        <v>5.5461119999999996E-2</v>
      </c>
      <c r="R305" s="39">
        <f t="shared" si="38"/>
        <v>0.21757823999999998</v>
      </c>
      <c r="S305" s="28"/>
      <c r="T305" s="39">
        <f t="shared" ref="T305:W306" si="40">N305*20%</f>
        <v>1.0665599999999997E-2</v>
      </c>
      <c r="U305" s="39">
        <f t="shared" si="40"/>
        <v>1.0665599999999997E-2</v>
      </c>
      <c r="V305" s="39">
        <f t="shared" si="40"/>
        <v>1.1092223999999999E-2</v>
      </c>
      <c r="W305" s="39">
        <f t="shared" si="40"/>
        <v>1.1092223999999999E-2</v>
      </c>
      <c r="X305" s="39">
        <f>SUM(T305:W305)</f>
        <v>4.351564799999999E-2</v>
      </c>
    </row>
    <row r="306" spans="1:24" ht="18" hidden="1" customHeight="1" x14ac:dyDescent="0.25">
      <c r="A306" s="512"/>
      <c r="B306" s="5"/>
      <c r="C306" s="8"/>
      <c r="D306" s="5"/>
      <c r="E306" s="26"/>
      <c r="F306" s="26"/>
      <c r="G306" s="26"/>
      <c r="H306" s="26"/>
      <c r="I306" s="26"/>
      <c r="J306" s="26"/>
      <c r="K306" s="26"/>
      <c r="L306" s="515" t="s">
        <v>298</v>
      </c>
      <c r="M306" s="516"/>
      <c r="N306" s="39">
        <f>'[5]Дудинка, Ленина 2019'!$J$135/1000</f>
        <v>27.866476921294002</v>
      </c>
      <c r="O306" s="39">
        <f>'[5]Дудинка, Ленина 2019'!$J$136/1000</f>
        <v>5.4871393705039999</v>
      </c>
      <c r="P306" s="39">
        <f>'[5]Дудинка, Ленина 2019'!$J$137/1000</f>
        <v>4.4298505223809315</v>
      </c>
      <c r="Q306" s="39">
        <f>'[5]Дудинка, Ленина 2019'!$J$138/1000</f>
        <v>14.744093812103699</v>
      </c>
      <c r="R306" s="39">
        <f t="shared" si="38"/>
        <v>52.527560626282636</v>
      </c>
      <c r="S306" s="28"/>
      <c r="T306" s="39">
        <f t="shared" si="40"/>
        <v>5.5732953842588007</v>
      </c>
      <c r="U306" s="39">
        <f t="shared" si="40"/>
        <v>1.0974278741008001</v>
      </c>
      <c r="V306" s="39">
        <f t="shared" si="40"/>
        <v>0.88597010447618629</v>
      </c>
      <c r="W306" s="39">
        <f t="shared" si="40"/>
        <v>2.94881876242074</v>
      </c>
      <c r="X306" s="39">
        <f>SUM(T306:W306)</f>
        <v>10.505512125256526</v>
      </c>
    </row>
    <row r="307" spans="1:24" ht="29.25" customHeight="1" x14ac:dyDescent="0.25">
      <c r="A307" s="512"/>
      <c r="B307" s="5" t="s">
        <v>485</v>
      </c>
      <c r="C307" s="4" t="s">
        <v>197</v>
      </c>
      <c r="D307" s="5" t="s">
        <v>243</v>
      </c>
      <c r="E307" s="26">
        <f>N307</f>
        <v>367.32846340000003</v>
      </c>
      <c r="F307" s="26">
        <f>O307</f>
        <v>121.4885134</v>
      </c>
      <c r="G307" s="26">
        <f>P307</f>
        <v>92.660436070000003</v>
      </c>
      <c r="H307" s="26">
        <f>Q307</f>
        <v>411.74715606999996</v>
      </c>
      <c r="I307" s="26">
        <f>SUM(E307:H307)+0.01</f>
        <v>993.23456894000003</v>
      </c>
      <c r="J307" s="26">
        <f>R315*1.039+R316*1.04+R319*1.04+R320*1.04+R321*1.04+R322*1.039+R323*1.039+R325*1.039</f>
        <v>1032.09067107226</v>
      </c>
      <c r="K307" s="26">
        <f>J307*1.039</f>
        <v>1072.3422072440781</v>
      </c>
      <c r="L307" s="5" t="s">
        <v>485</v>
      </c>
      <c r="M307" s="4" t="s">
        <v>197</v>
      </c>
      <c r="N307" s="39">
        <f>N308+N309+N313+N318+N324</f>
        <v>367.32846340000003</v>
      </c>
      <c r="O307" s="39">
        <f>O308+O309+O313+O318+O324</f>
        <v>121.4885134</v>
      </c>
      <c r="P307" s="39">
        <f>P308+P309+P313+P318+P324</f>
        <v>92.660436070000003</v>
      </c>
      <c r="Q307" s="39">
        <f>Q308+Q309+Q313+Q318+Q324</f>
        <v>411.74715606999996</v>
      </c>
      <c r="R307" s="39">
        <f t="shared" si="38"/>
        <v>993.22456894000004</v>
      </c>
      <c r="S307" s="28"/>
      <c r="T307" s="39"/>
      <c r="U307" s="39"/>
      <c r="V307" s="39"/>
      <c r="W307" s="39"/>
      <c r="X307" s="39"/>
    </row>
    <row r="308" spans="1:24" ht="19.5" hidden="1" customHeight="1" x14ac:dyDescent="0.25">
      <c r="A308" s="512"/>
      <c r="B308" s="5"/>
      <c r="C308" s="4"/>
      <c r="D308" s="5"/>
      <c r="E308" s="26"/>
      <c r="F308" s="26"/>
      <c r="G308" s="26"/>
      <c r="H308" s="26"/>
      <c r="I308" s="26"/>
      <c r="J308" s="26"/>
      <c r="K308" s="26"/>
      <c r="L308" s="515" t="s">
        <v>13</v>
      </c>
      <c r="M308" s="516"/>
      <c r="N308" s="39"/>
      <c r="O308" s="39"/>
      <c r="P308" s="39"/>
      <c r="Q308" s="39"/>
      <c r="R308" s="39"/>
      <c r="S308" s="28"/>
      <c r="T308" s="39"/>
      <c r="U308" s="39"/>
      <c r="V308" s="39"/>
      <c r="W308" s="39"/>
      <c r="X308" s="39"/>
    </row>
    <row r="309" spans="1:24" ht="19.5" hidden="1" customHeight="1" x14ac:dyDescent="0.25">
      <c r="A309" s="512"/>
      <c r="B309" s="5"/>
      <c r="C309" s="4"/>
      <c r="D309" s="5"/>
      <c r="E309" s="26"/>
      <c r="F309" s="26"/>
      <c r="G309" s="26"/>
      <c r="H309" s="26"/>
      <c r="I309" s="26"/>
      <c r="J309" s="26"/>
      <c r="K309" s="26"/>
      <c r="L309" s="515" t="s">
        <v>256</v>
      </c>
      <c r="M309" s="516"/>
      <c r="N309" s="39"/>
      <c r="O309" s="39"/>
      <c r="P309" s="39"/>
      <c r="Q309" s="39"/>
      <c r="R309" s="39"/>
      <c r="S309" s="28"/>
      <c r="T309" s="39"/>
      <c r="U309" s="39"/>
      <c r="V309" s="39"/>
      <c r="W309" s="39"/>
      <c r="X309" s="39"/>
    </row>
    <row r="310" spans="1:24" ht="19.5" hidden="1" customHeight="1" x14ac:dyDescent="0.25">
      <c r="A310" s="512"/>
      <c r="B310" s="5"/>
      <c r="C310" s="4"/>
      <c r="D310" s="5"/>
      <c r="E310" s="26"/>
      <c r="F310" s="26"/>
      <c r="G310" s="26"/>
      <c r="H310" s="26"/>
      <c r="I310" s="26"/>
      <c r="J310" s="26"/>
      <c r="K310" s="26"/>
      <c r="L310" s="26"/>
      <c r="M310" s="8" t="s">
        <v>340</v>
      </c>
      <c r="N310" s="39"/>
      <c r="O310" s="39"/>
      <c r="P310" s="39"/>
      <c r="Q310" s="39"/>
      <c r="R310" s="39"/>
      <c r="S310" s="28"/>
      <c r="T310" s="39"/>
      <c r="U310" s="39"/>
      <c r="V310" s="39"/>
      <c r="W310" s="39"/>
      <c r="X310" s="39"/>
    </row>
    <row r="311" spans="1:24" ht="19.5" hidden="1" customHeight="1" x14ac:dyDescent="0.25">
      <c r="A311" s="512"/>
      <c r="B311" s="5"/>
      <c r="C311" s="4"/>
      <c r="D311" s="5"/>
      <c r="E311" s="26"/>
      <c r="F311" s="26"/>
      <c r="G311" s="26"/>
      <c r="H311" s="26"/>
      <c r="I311" s="26"/>
      <c r="J311" s="26"/>
      <c r="K311" s="26"/>
      <c r="L311" s="26"/>
      <c r="M311" s="8" t="s">
        <v>341</v>
      </c>
      <c r="N311" s="39"/>
      <c r="O311" s="39"/>
      <c r="P311" s="39"/>
      <c r="Q311" s="39"/>
      <c r="R311" s="39"/>
      <c r="S311" s="28"/>
      <c r="T311" s="39"/>
      <c r="U311" s="39"/>
      <c r="V311" s="39"/>
      <c r="W311" s="39"/>
      <c r="X311" s="39"/>
    </row>
    <row r="312" spans="1:24" ht="19.5" hidden="1" customHeight="1" x14ac:dyDescent="0.25">
      <c r="A312" s="512"/>
      <c r="B312" s="5"/>
      <c r="C312" s="4"/>
      <c r="D312" s="5"/>
      <c r="E312" s="26"/>
      <c r="F312" s="26"/>
      <c r="G312" s="26"/>
      <c r="H312" s="26"/>
      <c r="I312" s="26"/>
      <c r="J312" s="26"/>
      <c r="K312" s="26"/>
      <c r="L312" s="26"/>
      <c r="M312" s="8" t="s">
        <v>346</v>
      </c>
      <c r="N312" s="39"/>
      <c r="O312" s="39"/>
      <c r="P312" s="39"/>
      <c r="Q312" s="39"/>
      <c r="R312" s="39"/>
      <c r="S312" s="28"/>
      <c r="T312" s="39"/>
      <c r="U312" s="39"/>
      <c r="V312" s="39"/>
      <c r="W312" s="39"/>
      <c r="X312" s="39"/>
    </row>
    <row r="313" spans="1:24" ht="19.5" hidden="1" customHeight="1" x14ac:dyDescent="0.25">
      <c r="A313" s="512"/>
      <c r="B313" s="5"/>
      <c r="C313" s="4"/>
      <c r="D313" s="5"/>
      <c r="E313" s="26"/>
      <c r="F313" s="26"/>
      <c r="G313" s="26"/>
      <c r="H313" s="26"/>
      <c r="I313" s="26"/>
      <c r="J313" s="26"/>
      <c r="K313" s="26"/>
      <c r="L313" s="515" t="s">
        <v>59</v>
      </c>
      <c r="M313" s="516"/>
      <c r="N313" s="39">
        <f>N314+N317</f>
        <v>23.08053</v>
      </c>
      <c r="O313" s="39">
        <f>O314+O317</f>
        <v>23.08053</v>
      </c>
      <c r="P313" s="39">
        <f>P314+P317</f>
        <v>23.999222669999995</v>
      </c>
      <c r="Q313" s="39">
        <f>Q314+Q317</f>
        <v>23.999222669999995</v>
      </c>
      <c r="R313" s="39">
        <f>SUM(N313:Q313)</f>
        <v>94.159505339999981</v>
      </c>
      <c r="S313" s="28"/>
      <c r="T313" s="39"/>
      <c r="U313" s="39"/>
      <c r="V313" s="39"/>
      <c r="W313" s="39"/>
      <c r="X313" s="39"/>
    </row>
    <row r="314" spans="1:24" ht="19.5" hidden="1" customHeight="1" x14ac:dyDescent="0.25">
      <c r="A314" s="512"/>
      <c r="B314" s="5"/>
      <c r="C314" s="4"/>
      <c r="D314" s="5"/>
      <c r="E314" s="26"/>
      <c r="F314" s="26"/>
      <c r="G314" s="26"/>
      <c r="H314" s="26"/>
      <c r="I314" s="26"/>
      <c r="J314" s="26"/>
      <c r="K314" s="26"/>
      <c r="M314" s="48" t="s">
        <v>296</v>
      </c>
      <c r="N314" s="39">
        <f>SUM(N315:N316)</f>
        <v>23.08053</v>
      </c>
      <c r="O314" s="39">
        <f>SUM(O315:O316)</f>
        <v>23.08053</v>
      </c>
      <c r="P314" s="39">
        <f>SUM(P315:P316)</f>
        <v>23.999222669999995</v>
      </c>
      <c r="Q314" s="39">
        <f>SUM(Q315:Q316)</f>
        <v>23.999222669999995</v>
      </c>
      <c r="R314" s="39">
        <f>SUM(N314:Q314)</f>
        <v>94.159505339999981</v>
      </c>
      <c r="S314" s="28"/>
      <c r="T314" s="39"/>
      <c r="U314" s="39"/>
      <c r="V314" s="39"/>
      <c r="W314" s="39"/>
      <c r="X314" s="39"/>
    </row>
    <row r="315" spans="1:24" ht="31.5" hidden="1" customHeight="1" x14ac:dyDescent="0.25">
      <c r="A315" s="512"/>
      <c r="B315" s="5"/>
      <c r="C315" s="4"/>
      <c r="D315" s="5"/>
      <c r="E315" s="26"/>
      <c r="F315" s="26"/>
      <c r="G315" s="26"/>
      <c r="H315" s="26"/>
      <c r="I315" s="26"/>
      <c r="J315" s="26"/>
      <c r="K315" s="26"/>
      <c r="L315" s="32"/>
      <c r="M315" s="13" t="s">
        <v>486</v>
      </c>
      <c r="N315" s="39">
        <f>'[5]Дудинка, гостиница 2019'!$C$203/1000</f>
        <v>4.5285300000000008</v>
      </c>
      <c r="O315" s="39">
        <f>'[5]Дудинка, гостиница 2019'!$C$204/1000</f>
        <v>4.5285300000000008</v>
      </c>
      <c r="P315" s="39">
        <f>'[5]Дудинка, гостиница 2019'!$C$205/1000</f>
        <v>4.705142669999999</v>
      </c>
      <c r="Q315" s="39">
        <f>'[5]Дудинка, гостиница 2019'!$C$206/1000</f>
        <v>4.705142669999999</v>
      </c>
      <c r="R315" s="39">
        <f>SUM(N315:Q315)</f>
        <v>18.467345340000001</v>
      </c>
      <c r="S315" s="28" t="s">
        <v>245</v>
      </c>
      <c r="T315" s="39"/>
      <c r="U315" s="39"/>
      <c r="V315" s="39"/>
      <c r="W315" s="39"/>
      <c r="X315" s="39"/>
    </row>
    <row r="316" spans="1:24" ht="47.25" hidden="1" customHeight="1" x14ac:dyDescent="0.25">
      <c r="A316" s="512"/>
      <c r="B316" s="5"/>
      <c r="C316" s="4"/>
      <c r="D316" s="5"/>
      <c r="E316" s="26"/>
      <c r="F316" s="26"/>
      <c r="G316" s="26"/>
      <c r="H316" s="26"/>
      <c r="I316" s="26"/>
      <c r="J316" s="26"/>
      <c r="K316" s="26"/>
      <c r="L316" s="32"/>
      <c r="M316" s="13" t="s">
        <v>487</v>
      </c>
      <c r="N316" s="39">
        <f>'[5]Дудинка, гостиница 2019'!$K$203/1000</f>
        <v>18.552</v>
      </c>
      <c r="O316" s="39">
        <f>'[5]Дудинка, гостиница 2019'!$K$204/1000</f>
        <v>18.552</v>
      </c>
      <c r="P316" s="39">
        <f>'[5]Дудинка, гостиница 2019'!$K$205/1000</f>
        <v>19.294079999999997</v>
      </c>
      <c r="Q316" s="39">
        <f>'[5]Дудинка, гостиница 2019'!$K$206/1000</f>
        <v>19.294079999999997</v>
      </c>
      <c r="R316" s="39">
        <f>SUM(N316:Q316)</f>
        <v>75.692159999999987</v>
      </c>
      <c r="S316" s="28" t="s">
        <v>480</v>
      </c>
      <c r="T316" s="39"/>
      <c r="U316" s="39"/>
      <c r="V316" s="39"/>
      <c r="W316" s="39"/>
      <c r="X316" s="39"/>
    </row>
    <row r="317" spans="1:24" ht="19.5" hidden="1" customHeight="1" x14ac:dyDescent="0.25">
      <c r="A317" s="512"/>
      <c r="B317" s="5"/>
      <c r="C317" s="4"/>
      <c r="D317" s="5"/>
      <c r="E317" s="26"/>
      <c r="F317" s="26"/>
      <c r="G317" s="26"/>
      <c r="H317" s="26"/>
      <c r="I317" s="26"/>
      <c r="J317" s="26"/>
      <c r="K317" s="26"/>
      <c r="L317" s="32"/>
      <c r="M317" s="13" t="s">
        <v>297</v>
      </c>
      <c r="N317" s="39"/>
      <c r="O317" s="39"/>
      <c r="P317" s="39"/>
      <c r="Q317" s="39"/>
      <c r="R317" s="39"/>
      <c r="S317" s="28"/>
      <c r="T317" s="39"/>
      <c r="U317" s="39"/>
      <c r="V317" s="39"/>
      <c r="W317" s="39"/>
      <c r="X317" s="39"/>
    </row>
    <row r="318" spans="1:24" ht="27.75" hidden="1" customHeight="1" x14ac:dyDescent="0.25">
      <c r="A318" s="512"/>
      <c r="B318" s="5"/>
      <c r="C318" s="4"/>
      <c r="D318" s="5"/>
      <c r="E318" s="26"/>
      <c r="F318" s="26"/>
      <c r="G318" s="26"/>
      <c r="H318" s="26"/>
      <c r="I318" s="26"/>
      <c r="J318" s="26"/>
      <c r="K318" s="26"/>
      <c r="L318" s="515" t="s">
        <v>299</v>
      </c>
      <c r="M318" s="516"/>
      <c r="N318" s="39">
        <f>SUM(N319:N323)</f>
        <v>45.247933400000001</v>
      </c>
      <c r="O318" s="39">
        <f>SUM(O319:O323)</f>
        <v>46.907983399999999</v>
      </c>
      <c r="P318" s="39">
        <f>SUM(P319:P323)</f>
        <v>68.661213400000008</v>
      </c>
      <c r="Q318" s="39">
        <f>SUM(Q319:Q323)</f>
        <v>45.247933400000001</v>
      </c>
      <c r="R318" s="39">
        <f t="shared" ref="R318:R348" si="41">SUM(N318:Q318)</f>
        <v>206.0650636</v>
      </c>
      <c r="S318" s="28"/>
      <c r="T318" s="39"/>
      <c r="U318" s="39"/>
      <c r="V318" s="39"/>
      <c r="W318" s="39"/>
      <c r="X318" s="39"/>
    </row>
    <row r="319" spans="1:24" ht="53.25" hidden="1" customHeight="1" x14ac:dyDescent="0.25">
      <c r="A319" s="512"/>
      <c r="B319" s="5"/>
      <c r="C319" s="4"/>
      <c r="D319" s="5"/>
      <c r="E319" s="26"/>
      <c r="F319" s="26"/>
      <c r="G319" s="26"/>
      <c r="H319" s="26"/>
      <c r="I319" s="26"/>
      <c r="J319" s="26"/>
      <c r="K319" s="26"/>
      <c r="L319" s="13"/>
      <c r="M319" s="13" t="s">
        <v>488</v>
      </c>
      <c r="N319" s="39">
        <f>'[5]Норильск 2018'!$E$47/1000</f>
        <v>3.9659333999999999</v>
      </c>
      <c r="O319" s="39">
        <f>'[5]Норильск 2018'!$E$48/1000</f>
        <v>3.9659333999999999</v>
      </c>
      <c r="P319" s="39">
        <f>'[5]Норильск 2018'!$E$49/1000</f>
        <v>3.9659333999999999</v>
      </c>
      <c r="Q319" s="39">
        <f>'[5]Норильск 2018'!$E$50/1000</f>
        <v>3.9659333999999999</v>
      </c>
      <c r="R319" s="39">
        <f t="shared" si="41"/>
        <v>15.8637336</v>
      </c>
      <c r="S319" s="28" t="s">
        <v>480</v>
      </c>
      <c r="T319" s="39"/>
      <c r="U319" s="39"/>
      <c r="V319" s="39"/>
      <c r="W319" s="39"/>
      <c r="X319" s="39"/>
    </row>
    <row r="320" spans="1:24" ht="53.25" hidden="1" customHeight="1" x14ac:dyDescent="0.25">
      <c r="A320" s="512"/>
      <c r="B320" s="5"/>
      <c r="C320" s="4"/>
      <c r="D320" s="5"/>
      <c r="E320" s="26"/>
      <c r="F320" s="26"/>
      <c r="G320" s="26"/>
      <c r="H320" s="26"/>
      <c r="I320" s="26"/>
      <c r="J320" s="26"/>
      <c r="K320" s="26"/>
      <c r="L320" s="13"/>
      <c r="M320" s="13" t="s">
        <v>489</v>
      </c>
      <c r="N320" s="39">
        <f>'[5]Норильск 2018'!$M$47/1000</f>
        <v>9.282</v>
      </c>
      <c r="O320" s="39">
        <f>'[5]Норильск 2018'!$M$48/1000</f>
        <v>9.282</v>
      </c>
      <c r="P320" s="39">
        <f>'[5]Норильск 2018'!$M$49/1000</f>
        <v>9.282</v>
      </c>
      <c r="Q320" s="39">
        <f>'[5]Норильск 2018'!$M$50/1000</f>
        <v>9.282</v>
      </c>
      <c r="R320" s="39">
        <f t="shared" si="41"/>
        <v>37.128</v>
      </c>
      <c r="S320" s="28" t="s">
        <v>480</v>
      </c>
      <c r="T320" s="39"/>
      <c r="U320" s="39"/>
      <c r="V320" s="39"/>
      <c r="W320" s="39"/>
      <c r="X320" s="39"/>
    </row>
    <row r="321" spans="1:24" ht="33" hidden="1" customHeight="1" x14ac:dyDescent="0.25">
      <c r="A321" s="512"/>
      <c r="B321" s="5"/>
      <c r="C321" s="4"/>
      <c r="D321" s="5"/>
      <c r="E321" s="26"/>
      <c r="F321" s="26"/>
      <c r="G321" s="26"/>
      <c r="H321" s="26"/>
      <c r="I321" s="26"/>
      <c r="J321" s="26"/>
      <c r="K321" s="26"/>
      <c r="L321" s="13"/>
      <c r="M321" s="13" t="s">
        <v>490</v>
      </c>
      <c r="N321" s="39"/>
      <c r="O321" s="39">
        <f>'[5]Норильск 2018'!$U$53/1000</f>
        <v>1.6600499999999998</v>
      </c>
      <c r="P321" s="39"/>
      <c r="Q321" s="39"/>
      <c r="R321" s="39">
        <f t="shared" si="41"/>
        <v>1.6600499999999998</v>
      </c>
      <c r="S321" s="28" t="s">
        <v>480</v>
      </c>
      <c r="T321" s="39">
        <f>N321*20%</f>
        <v>0</v>
      </c>
      <c r="U321" s="39">
        <f>O321*20%</f>
        <v>0.33200999999999997</v>
      </c>
      <c r="V321" s="39">
        <f>P321*20%</f>
        <v>0</v>
      </c>
      <c r="W321" s="39">
        <f>Q321*20%</f>
        <v>0</v>
      </c>
      <c r="X321" s="39">
        <f>SUM(T321:W321)</f>
        <v>0.33200999999999997</v>
      </c>
    </row>
    <row r="322" spans="1:24" ht="53.25" hidden="1" customHeight="1" x14ac:dyDescent="0.25">
      <c r="A322" s="512"/>
      <c r="B322" s="5"/>
      <c r="C322" s="4"/>
      <c r="D322" s="5"/>
      <c r="E322" s="26"/>
      <c r="F322" s="26"/>
      <c r="G322" s="26"/>
      <c r="H322" s="26"/>
      <c r="I322" s="26"/>
      <c r="J322" s="26"/>
      <c r="K322" s="26"/>
      <c r="L322" s="32"/>
      <c r="M322" s="13" t="s">
        <v>491</v>
      </c>
      <c r="N322" s="39">
        <f>96000/3/1000</f>
        <v>32</v>
      </c>
      <c r="O322" s="39">
        <f>96000/3/1000</f>
        <v>32</v>
      </c>
      <c r="P322" s="39"/>
      <c r="Q322" s="39">
        <f>96000/3/1000</f>
        <v>32</v>
      </c>
      <c r="R322" s="39">
        <f t="shared" si="41"/>
        <v>96</v>
      </c>
      <c r="S322" s="28" t="s">
        <v>245</v>
      </c>
      <c r="T322" s="39"/>
      <c r="U322" s="39"/>
      <c r="V322" s="39"/>
      <c r="W322" s="39"/>
      <c r="X322" s="39"/>
    </row>
    <row r="323" spans="1:24" ht="53.25" hidden="1" customHeight="1" x14ac:dyDescent="0.25">
      <c r="A323" s="512"/>
      <c r="B323" s="5"/>
      <c r="C323" s="4"/>
      <c r="D323" s="5"/>
      <c r="E323" s="26"/>
      <c r="F323" s="26"/>
      <c r="G323" s="26"/>
      <c r="H323" s="26"/>
      <c r="I323" s="26"/>
      <c r="J323" s="26"/>
      <c r="K323" s="26"/>
      <c r="L323" s="13"/>
      <c r="M323" s="13" t="s">
        <v>492</v>
      </c>
      <c r="N323" s="39"/>
      <c r="O323" s="39"/>
      <c r="P323" s="39">
        <f>8*6926.66/1000</f>
        <v>55.41328</v>
      </c>
      <c r="Q323" s="39"/>
      <c r="R323" s="39">
        <f t="shared" si="41"/>
        <v>55.41328</v>
      </c>
      <c r="S323" s="28" t="s">
        <v>245</v>
      </c>
      <c r="T323" s="39"/>
      <c r="U323" s="39"/>
      <c r="V323" s="39"/>
      <c r="W323" s="39"/>
      <c r="X323" s="39"/>
    </row>
    <row r="324" spans="1:24" ht="19.5" hidden="1" customHeight="1" x14ac:dyDescent="0.25">
      <c r="A324" s="512"/>
      <c r="B324" s="5"/>
      <c r="C324" s="4"/>
      <c r="D324" s="5"/>
      <c r="E324" s="26"/>
      <c r="F324" s="26"/>
      <c r="G324" s="26"/>
      <c r="H324" s="26"/>
      <c r="I324" s="26"/>
      <c r="J324" s="26"/>
      <c r="K324" s="26"/>
      <c r="L324" s="515" t="s">
        <v>298</v>
      </c>
      <c r="M324" s="516"/>
      <c r="N324" s="39">
        <f>N325</f>
        <v>299</v>
      </c>
      <c r="O324" s="39">
        <f>O325</f>
        <v>51.5</v>
      </c>
      <c r="P324" s="39">
        <f>P325</f>
        <v>0</v>
      </c>
      <c r="Q324" s="39">
        <f>Q325</f>
        <v>342.5</v>
      </c>
      <c r="R324" s="39">
        <f t="shared" si="41"/>
        <v>693</v>
      </c>
      <c r="S324" s="28"/>
      <c r="T324" s="39"/>
      <c r="U324" s="39"/>
      <c r="V324" s="39"/>
      <c r="W324" s="39"/>
      <c r="X324" s="39"/>
    </row>
    <row r="325" spans="1:24" ht="169.5" hidden="1" customHeight="1" x14ac:dyDescent="0.25">
      <c r="A325" s="512"/>
      <c r="B325" s="5"/>
      <c r="C325" s="4"/>
      <c r="D325" s="5"/>
      <c r="E325" s="26"/>
      <c r="F325" s="26"/>
      <c r="G325" s="26"/>
      <c r="H325" s="26"/>
      <c r="I325" s="26"/>
      <c r="J325" s="26"/>
      <c r="K325" s="26"/>
      <c r="L325" s="26"/>
      <c r="M325" s="8" t="s">
        <v>493</v>
      </c>
      <c r="N325" s="39">
        <f>(65000*2+91000+39000*2)/1000</f>
        <v>299</v>
      </c>
      <c r="O325" s="39">
        <f>(17500+28000+6000)/1000</f>
        <v>51.5</v>
      </c>
      <c r="P325" s="39">
        <v>0</v>
      </c>
      <c r="Q325" s="39">
        <f>693000/1000-N325-O325</f>
        <v>342.5</v>
      </c>
      <c r="R325" s="39">
        <f t="shared" si="41"/>
        <v>693</v>
      </c>
      <c r="S325" s="28" t="s">
        <v>245</v>
      </c>
      <c r="T325" s="39"/>
      <c r="U325" s="39"/>
      <c r="V325" s="39"/>
      <c r="W325" s="39"/>
      <c r="X325" s="39"/>
    </row>
    <row r="326" spans="1:24" ht="17.25" customHeight="1" x14ac:dyDescent="0.25">
      <c r="A326" s="512"/>
      <c r="B326" s="5" t="s">
        <v>494</v>
      </c>
      <c r="C326" s="8" t="s">
        <v>199</v>
      </c>
      <c r="D326" s="5" t="s">
        <v>243</v>
      </c>
      <c r="E326" s="26">
        <f>N326</f>
        <v>59.194642600000009</v>
      </c>
      <c r="F326" s="26">
        <f>O326</f>
        <v>59.194642600000009</v>
      </c>
      <c r="G326" s="26">
        <f>P326</f>
        <v>59.194642600000009</v>
      </c>
      <c r="H326" s="26">
        <f>Q326</f>
        <v>59.194642600000009</v>
      </c>
      <c r="I326" s="26">
        <f>SUM(E326:H326)-0.02</f>
        <v>236.75857040000002</v>
      </c>
      <c r="J326" s="26">
        <f>I326*1.039</f>
        <v>245.99215464560001</v>
      </c>
      <c r="K326" s="26">
        <f>J326*1.039</f>
        <v>255.5858486767784</v>
      </c>
      <c r="L326" s="5" t="s">
        <v>494</v>
      </c>
      <c r="M326" s="8" t="s">
        <v>199</v>
      </c>
      <c r="N326" s="39">
        <f>N327+N331</f>
        <v>59.194642600000009</v>
      </c>
      <c r="O326" s="39">
        <f>O327+O331</f>
        <v>59.194642600000009</v>
      </c>
      <c r="P326" s="39">
        <f>P327+P331</f>
        <v>59.194642600000009</v>
      </c>
      <c r="Q326" s="39">
        <f>Q327+Q331</f>
        <v>59.194642600000009</v>
      </c>
      <c r="R326" s="39">
        <f t="shared" si="41"/>
        <v>236.77857040000004</v>
      </c>
      <c r="S326" s="28" t="s">
        <v>245</v>
      </c>
      <c r="T326" s="39"/>
      <c r="U326" s="39"/>
      <c r="V326" s="39"/>
      <c r="W326" s="39"/>
      <c r="X326" s="39"/>
    </row>
    <row r="327" spans="1:24" ht="17.25" hidden="1" customHeight="1" x14ac:dyDescent="0.25">
      <c r="A327" s="512"/>
      <c r="B327" s="5"/>
      <c r="C327" s="8"/>
      <c r="D327" s="5"/>
      <c r="E327" s="26"/>
      <c r="F327" s="26"/>
      <c r="G327" s="26"/>
      <c r="H327" s="26"/>
      <c r="I327" s="26"/>
      <c r="J327" s="26"/>
      <c r="K327" s="26"/>
      <c r="L327" s="515" t="s">
        <v>256</v>
      </c>
      <c r="M327" s="516"/>
      <c r="N327" s="39">
        <f>N328</f>
        <v>3.5516785560000002</v>
      </c>
      <c r="O327" s="39">
        <f>O328</f>
        <v>3.5516785560000002</v>
      </c>
      <c r="P327" s="39">
        <f>P328</f>
        <v>3.5516785560000002</v>
      </c>
      <c r="Q327" s="39">
        <f>Q328</f>
        <v>3.5516785560000002</v>
      </c>
      <c r="R327" s="39">
        <f t="shared" si="41"/>
        <v>14.206714224000001</v>
      </c>
      <c r="S327" s="28"/>
      <c r="T327" s="39"/>
      <c r="U327" s="39"/>
      <c r="V327" s="39"/>
      <c r="W327" s="39"/>
      <c r="X327" s="39"/>
    </row>
    <row r="328" spans="1:24" ht="17.25" hidden="1" customHeight="1" x14ac:dyDescent="0.25">
      <c r="A328" s="512"/>
      <c r="B328" s="5"/>
      <c r="C328" s="8"/>
      <c r="D328" s="5"/>
      <c r="E328" s="26"/>
      <c r="F328" s="26"/>
      <c r="G328" s="26"/>
      <c r="H328" s="26"/>
      <c r="I328" s="26"/>
      <c r="J328" s="26"/>
      <c r="K328" s="26"/>
      <c r="L328" s="515" t="s">
        <v>341</v>
      </c>
      <c r="M328" s="516"/>
      <c r="N328" s="39">
        <f>SUM(N329:N330)</f>
        <v>3.5516785560000002</v>
      </c>
      <c r="O328" s="39">
        <f>SUM(O329:O330)</f>
        <v>3.5516785560000002</v>
      </c>
      <c r="P328" s="39">
        <f>SUM(P329:P330)</f>
        <v>3.5516785560000002</v>
      </c>
      <c r="Q328" s="39">
        <f>SUM(Q329:Q330)</f>
        <v>3.5516785560000002</v>
      </c>
      <c r="R328" s="39">
        <f t="shared" si="41"/>
        <v>14.206714224000001</v>
      </c>
      <c r="S328" s="28"/>
      <c r="T328" s="39"/>
      <c r="U328" s="39"/>
      <c r="V328" s="39"/>
      <c r="W328" s="39"/>
      <c r="X328" s="39"/>
    </row>
    <row r="329" spans="1:24" ht="25.5" hidden="1" customHeight="1" x14ac:dyDescent="0.25">
      <c r="A329" s="512"/>
      <c r="B329" s="5"/>
      <c r="C329" s="8"/>
      <c r="D329" s="5"/>
      <c r="E329" s="26"/>
      <c r="F329" s="26"/>
      <c r="G329" s="26"/>
      <c r="H329" s="26"/>
      <c r="I329" s="26"/>
      <c r="J329" s="26"/>
      <c r="K329" s="26"/>
      <c r="L329" s="5"/>
      <c r="M329" s="8" t="s">
        <v>495</v>
      </c>
      <c r="N329" s="39">
        <f>'[5]Дудинка, гостиница 2019'!$T$158/1000</f>
        <v>2.555648556</v>
      </c>
      <c r="O329" s="39">
        <f>'[5]Дудинка, гостиница 2019'!$T$159/1000</f>
        <v>2.555648556</v>
      </c>
      <c r="P329" s="39">
        <f>'[5]Дудинка, гостиница 2019'!$T$160/1000</f>
        <v>2.555648556</v>
      </c>
      <c r="Q329" s="39">
        <f>'[5]Дудинка, гостиница 2019'!$T$161/1000</f>
        <v>2.555648556</v>
      </c>
      <c r="R329" s="39">
        <f t="shared" si="41"/>
        <v>10.222594224</v>
      </c>
      <c r="S329" s="28"/>
      <c r="T329" s="39">
        <f t="shared" ref="T329:W330" si="42">N329*20%</f>
        <v>0.51112971120000006</v>
      </c>
      <c r="U329" s="39">
        <f t="shared" si="42"/>
        <v>0.51112971120000006</v>
      </c>
      <c r="V329" s="39">
        <f t="shared" si="42"/>
        <v>0.51112971120000006</v>
      </c>
      <c r="W329" s="39">
        <f t="shared" si="42"/>
        <v>0.51112971120000006</v>
      </c>
      <c r="X329" s="39">
        <f>SUM(T329:W329)</f>
        <v>2.0445188448000002</v>
      </c>
    </row>
    <row r="330" spans="1:24" ht="25.5" hidden="1" customHeight="1" x14ac:dyDescent="0.25">
      <c r="A330" s="512"/>
      <c r="B330" s="5"/>
      <c r="C330" s="8"/>
      <c r="D330" s="5"/>
      <c r="E330" s="26"/>
      <c r="F330" s="26"/>
      <c r="G330" s="26"/>
      <c r="H330" s="26"/>
      <c r="I330" s="26"/>
      <c r="J330" s="26"/>
      <c r="K330" s="26"/>
      <c r="L330" s="5"/>
      <c r="M330" s="8" t="s">
        <v>496</v>
      </c>
      <c r="N330" s="39">
        <f>'[5]Дудинка, гостиница 2019'!$T$180/1000</f>
        <v>0.99603000000000019</v>
      </c>
      <c r="O330" s="39">
        <f>'[5]Дудинка, гостиница 2019'!$T$181/1000</f>
        <v>0.99603000000000019</v>
      </c>
      <c r="P330" s="39">
        <f>'[5]Дудинка, гостиница 2019'!$T$182/1000</f>
        <v>0.99603000000000019</v>
      </c>
      <c r="Q330" s="39">
        <f>'[5]Дудинка, гостиница 2019'!$T$183/1000</f>
        <v>0.99603000000000019</v>
      </c>
      <c r="R330" s="39">
        <f t="shared" si="41"/>
        <v>3.9841200000000008</v>
      </c>
      <c r="S330" s="28"/>
      <c r="T330" s="39">
        <f t="shared" si="42"/>
        <v>0.19920600000000005</v>
      </c>
      <c r="U330" s="39">
        <f t="shared" si="42"/>
        <v>0.19920600000000005</v>
      </c>
      <c r="V330" s="39">
        <f t="shared" si="42"/>
        <v>0.19920600000000005</v>
      </c>
      <c r="W330" s="39">
        <f t="shared" si="42"/>
        <v>0.19920600000000005</v>
      </c>
      <c r="X330" s="39">
        <f>SUM(T330:W330)</f>
        <v>0.7968240000000002</v>
      </c>
    </row>
    <row r="331" spans="1:24" ht="17.25" hidden="1" customHeight="1" x14ac:dyDescent="0.25">
      <c r="A331" s="512"/>
      <c r="B331" s="5"/>
      <c r="C331" s="8"/>
      <c r="D331" s="5"/>
      <c r="E331" s="26"/>
      <c r="F331" s="26"/>
      <c r="G331" s="26"/>
      <c r="H331" s="26"/>
      <c r="I331" s="26"/>
      <c r="J331" s="26"/>
      <c r="K331" s="26"/>
      <c r="L331" s="515" t="s">
        <v>59</v>
      </c>
      <c r="M331" s="516"/>
      <c r="N331" s="39">
        <f>N332+N335</f>
        <v>55.64296404400001</v>
      </c>
      <c r="O331" s="39">
        <f>O332+O335</f>
        <v>55.64296404400001</v>
      </c>
      <c r="P331" s="39">
        <f>P332+P335</f>
        <v>55.64296404400001</v>
      </c>
      <c r="Q331" s="39">
        <f>Q332+Q335</f>
        <v>55.64296404400001</v>
      </c>
      <c r="R331" s="39">
        <f t="shared" si="41"/>
        <v>222.57185617600004</v>
      </c>
      <c r="S331" s="28"/>
      <c r="T331" s="39"/>
      <c r="U331" s="39"/>
      <c r="V331" s="39"/>
      <c r="W331" s="39"/>
      <c r="X331" s="39"/>
    </row>
    <row r="332" spans="1:24" ht="17.25" hidden="1" customHeight="1" x14ac:dyDescent="0.25">
      <c r="A332" s="512"/>
      <c r="B332" s="5"/>
      <c r="C332" s="8"/>
      <c r="D332" s="5"/>
      <c r="E332" s="26"/>
      <c r="F332" s="26"/>
      <c r="G332" s="26"/>
      <c r="H332" s="26"/>
      <c r="I332" s="26"/>
      <c r="J332" s="26"/>
      <c r="K332" s="26"/>
      <c r="L332" s="22"/>
      <c r="M332" s="48" t="s">
        <v>296</v>
      </c>
      <c r="N332" s="39">
        <f>SUM(N333:N334)</f>
        <v>52.091285488000011</v>
      </c>
      <c r="O332" s="39">
        <f>SUM(O333:O334)</f>
        <v>52.091285488000011</v>
      </c>
      <c r="P332" s="39">
        <f>SUM(P333:P334)</f>
        <v>52.091285488000011</v>
      </c>
      <c r="Q332" s="39">
        <f>SUM(Q333:Q334)</f>
        <v>52.091285488000011</v>
      </c>
      <c r="R332" s="39">
        <f t="shared" si="41"/>
        <v>208.36514195200004</v>
      </c>
      <c r="S332" s="28"/>
      <c r="T332" s="39"/>
      <c r="U332" s="39"/>
      <c r="V332" s="39"/>
      <c r="W332" s="39"/>
      <c r="X332" s="39"/>
    </row>
    <row r="333" spans="1:24" ht="27.75" hidden="1" customHeight="1" x14ac:dyDescent="0.25">
      <c r="A333" s="512"/>
      <c r="B333" s="5"/>
      <c r="C333" s="8"/>
      <c r="D333" s="5"/>
      <c r="E333" s="26"/>
      <c r="F333" s="26"/>
      <c r="G333" s="26"/>
      <c r="H333" s="26"/>
      <c r="I333" s="26"/>
      <c r="J333" s="26"/>
      <c r="K333" s="26"/>
      <c r="L333" s="22"/>
      <c r="M333" s="8" t="s">
        <v>495</v>
      </c>
      <c r="N333" s="39">
        <f>'[5]Дудинка, гостиница 2019'!$J$158/1000</f>
        <v>37.482845488000009</v>
      </c>
      <c r="O333" s="39">
        <f>'[5]Дудинка, гостиница 2019'!$J$159/1000</f>
        <v>37.482845488000009</v>
      </c>
      <c r="P333" s="39">
        <f>'[5]Дудинка, гостиница 2019'!$J$160/1000</f>
        <v>37.482845488000009</v>
      </c>
      <c r="Q333" s="39">
        <f>'[5]Дудинка, гостиница 2019'!$J$161/1000</f>
        <v>37.482845488000009</v>
      </c>
      <c r="R333" s="39">
        <f t="shared" si="41"/>
        <v>149.93138195200004</v>
      </c>
      <c r="T333" s="39">
        <f t="shared" ref="T333:W334" si="43">N333*20%</f>
        <v>7.4965690976000019</v>
      </c>
      <c r="U333" s="39">
        <f t="shared" si="43"/>
        <v>7.4965690976000019</v>
      </c>
      <c r="V333" s="39">
        <f t="shared" si="43"/>
        <v>7.4965690976000019</v>
      </c>
      <c r="W333" s="39">
        <f t="shared" si="43"/>
        <v>7.4965690976000019</v>
      </c>
      <c r="X333" s="39">
        <f>SUM(T333:W333)</f>
        <v>29.986276390400008</v>
      </c>
    </row>
    <row r="334" spans="1:24" ht="27.75" hidden="1" customHeight="1" x14ac:dyDescent="0.25">
      <c r="A334" s="512"/>
      <c r="B334" s="5"/>
      <c r="C334" s="8"/>
      <c r="D334" s="5"/>
      <c r="E334" s="26"/>
      <c r="F334" s="26"/>
      <c r="G334" s="26"/>
      <c r="H334" s="26"/>
      <c r="I334" s="26"/>
      <c r="J334" s="26"/>
      <c r="K334" s="26"/>
      <c r="L334" s="22"/>
      <c r="M334" s="8" t="s">
        <v>496</v>
      </c>
      <c r="N334" s="39">
        <f>'[5]Дудинка, гостиница 2019'!$J$180/1000</f>
        <v>14.608440000000003</v>
      </c>
      <c r="O334" s="39">
        <f>'[5]Дудинка, гостиница 2019'!$J$181/1000</f>
        <v>14.608440000000003</v>
      </c>
      <c r="P334" s="39">
        <f>'[5]Дудинка, гостиница 2019'!$J$182/1000</f>
        <v>14.608440000000003</v>
      </c>
      <c r="Q334" s="39">
        <f>'[5]Дудинка, гостиница 2019'!$J$183/1000</f>
        <v>14.608440000000003</v>
      </c>
      <c r="R334" s="39">
        <f t="shared" si="41"/>
        <v>58.433760000000014</v>
      </c>
      <c r="S334" s="28"/>
      <c r="T334" s="39">
        <f t="shared" si="43"/>
        <v>2.921688000000001</v>
      </c>
      <c r="U334" s="39">
        <f t="shared" si="43"/>
        <v>2.921688000000001</v>
      </c>
      <c r="V334" s="39">
        <f t="shared" si="43"/>
        <v>2.921688000000001</v>
      </c>
      <c r="W334" s="39">
        <f t="shared" si="43"/>
        <v>2.921688000000001</v>
      </c>
      <c r="X334" s="39">
        <f>SUM(T334:W334)</f>
        <v>11.686752000000004</v>
      </c>
    </row>
    <row r="335" spans="1:24" ht="17.25" hidden="1" customHeight="1" x14ac:dyDescent="0.25">
      <c r="A335" s="512"/>
      <c r="B335" s="5"/>
      <c r="C335" s="8"/>
      <c r="D335" s="5"/>
      <c r="E335" s="26"/>
      <c r="F335" s="26"/>
      <c r="G335" s="26"/>
      <c r="H335" s="26"/>
      <c r="I335" s="26"/>
      <c r="J335" s="26"/>
      <c r="K335" s="26"/>
      <c r="L335" s="5"/>
      <c r="M335" s="13" t="s">
        <v>297</v>
      </c>
      <c r="N335" s="39">
        <f>SUM(N336:N337)</f>
        <v>3.5516785560000002</v>
      </c>
      <c r="O335" s="39">
        <f>SUM(O336:O337)</f>
        <v>3.5516785560000002</v>
      </c>
      <c r="P335" s="39">
        <f>SUM(P336:P337)</f>
        <v>3.5516785560000002</v>
      </c>
      <c r="Q335" s="39">
        <f>SUM(Q336:Q337)</f>
        <v>3.5516785560000002</v>
      </c>
      <c r="R335" s="39">
        <f t="shared" si="41"/>
        <v>14.206714224000001</v>
      </c>
      <c r="S335" s="28"/>
      <c r="T335" s="39"/>
      <c r="U335" s="39"/>
      <c r="V335" s="39"/>
      <c r="W335" s="39"/>
      <c r="X335" s="39"/>
    </row>
    <row r="336" spans="1:24" ht="27" hidden="1" customHeight="1" x14ac:dyDescent="0.25">
      <c r="A336" s="512"/>
      <c r="B336" s="5"/>
      <c r="C336" s="8"/>
      <c r="D336" s="5"/>
      <c r="E336" s="26"/>
      <c r="F336" s="26"/>
      <c r="G336" s="26"/>
      <c r="H336" s="26"/>
      <c r="I336" s="26"/>
      <c r="J336" s="26"/>
      <c r="K336" s="26"/>
      <c r="L336" s="5"/>
      <c r="M336" s="8" t="s">
        <v>495</v>
      </c>
      <c r="N336" s="39">
        <f>'[5]Дудинка, гостиница 2019'!$O$158/1000</f>
        <v>2.555648556</v>
      </c>
      <c r="O336" s="39">
        <f>'[5]Дудинка, гостиница 2019'!$O$159/1000</f>
        <v>2.555648556</v>
      </c>
      <c r="P336" s="39">
        <f>'[5]Дудинка, гостиница 2019'!$O$160/1000</f>
        <v>2.555648556</v>
      </c>
      <c r="Q336" s="39">
        <f>'[5]Дудинка, гостиница 2019'!$O$161/1000</f>
        <v>2.555648556</v>
      </c>
      <c r="R336" s="39">
        <f t="shared" si="41"/>
        <v>10.222594224</v>
      </c>
      <c r="S336" s="28"/>
      <c r="T336" s="39">
        <f t="shared" ref="T336:W337" si="44">N336*20%</f>
        <v>0.51112971120000006</v>
      </c>
      <c r="U336" s="39">
        <f t="shared" si="44"/>
        <v>0.51112971120000006</v>
      </c>
      <c r="V336" s="39">
        <f t="shared" si="44"/>
        <v>0.51112971120000006</v>
      </c>
      <c r="W336" s="39">
        <f t="shared" si="44"/>
        <v>0.51112971120000006</v>
      </c>
      <c r="X336" s="39">
        <f>SUM(T336:W336)</f>
        <v>2.0445188448000002</v>
      </c>
    </row>
    <row r="337" spans="1:24" ht="27" hidden="1" customHeight="1" x14ac:dyDescent="0.25">
      <c r="A337" s="512"/>
      <c r="B337" s="5"/>
      <c r="C337" s="8"/>
      <c r="D337" s="5"/>
      <c r="E337" s="26"/>
      <c r="F337" s="26"/>
      <c r="G337" s="26"/>
      <c r="H337" s="26"/>
      <c r="I337" s="26"/>
      <c r="J337" s="26"/>
      <c r="K337" s="26"/>
      <c r="L337" s="5"/>
      <c r="M337" s="8" t="s">
        <v>496</v>
      </c>
      <c r="N337" s="39">
        <f>'[5]Дудинка, гостиница 2019'!$O$180/1000</f>
        <v>0.99603000000000019</v>
      </c>
      <c r="O337" s="39">
        <f>'[5]Дудинка, гостиница 2019'!$O$181/1000</f>
        <v>0.99603000000000019</v>
      </c>
      <c r="P337" s="39">
        <f>'[5]Дудинка, гостиница 2019'!$O$182/1000</f>
        <v>0.99603000000000019</v>
      </c>
      <c r="Q337" s="39">
        <f>'[5]Дудинка, гостиница 2019'!$O$183/1000</f>
        <v>0.99603000000000019</v>
      </c>
      <c r="R337" s="39">
        <f t="shared" si="41"/>
        <v>3.9841200000000008</v>
      </c>
      <c r="S337" s="28"/>
      <c r="T337" s="39">
        <f t="shared" si="44"/>
        <v>0.19920600000000005</v>
      </c>
      <c r="U337" s="39">
        <f t="shared" si="44"/>
        <v>0.19920600000000005</v>
      </c>
      <c r="V337" s="39">
        <f t="shared" si="44"/>
        <v>0.19920600000000005</v>
      </c>
      <c r="W337" s="39">
        <f t="shared" si="44"/>
        <v>0.19920600000000005</v>
      </c>
      <c r="X337" s="39">
        <f>SUM(T337:W337)</f>
        <v>0.7968240000000002</v>
      </c>
    </row>
    <row r="338" spans="1:24" ht="17.25" customHeight="1" x14ac:dyDescent="0.25">
      <c r="A338" s="512"/>
      <c r="B338" s="5" t="s">
        <v>497</v>
      </c>
      <c r="C338" s="8" t="s">
        <v>201</v>
      </c>
      <c r="D338" s="5" t="s">
        <v>243</v>
      </c>
      <c r="E338" s="26">
        <f>N338</f>
        <v>3.1792799999999999</v>
      </c>
      <c r="F338" s="26">
        <f>O338</f>
        <v>3.1792799999999999</v>
      </c>
      <c r="G338" s="26">
        <f>P338</f>
        <v>3.1792799999999999</v>
      </c>
      <c r="H338" s="26">
        <f>Q338</f>
        <v>3.1792799999999999</v>
      </c>
      <c r="I338" s="26">
        <f>SUM(E338:H338)</f>
        <v>12.71712</v>
      </c>
      <c r="J338" s="26">
        <f>101.9*10.7*12/1000</f>
        <v>13.083959999999999</v>
      </c>
      <c r="K338" s="26">
        <f>101.9*11*12/1000</f>
        <v>13.450800000000001</v>
      </c>
      <c r="L338" s="5" t="s">
        <v>497</v>
      </c>
      <c r="M338" s="8" t="s">
        <v>201</v>
      </c>
      <c r="N338" s="39">
        <f t="shared" ref="N338:Q339" si="45">N339</f>
        <v>3.1792799999999999</v>
      </c>
      <c r="O338" s="39">
        <f t="shared" si="45"/>
        <v>3.1792799999999999</v>
      </c>
      <c r="P338" s="39">
        <f t="shared" si="45"/>
        <v>3.1792799999999999</v>
      </c>
      <c r="Q338" s="39">
        <f t="shared" si="45"/>
        <v>3.1792799999999999</v>
      </c>
      <c r="R338" s="39">
        <f t="shared" si="41"/>
        <v>12.71712</v>
      </c>
      <c r="S338" s="28"/>
      <c r="T338" s="39"/>
      <c r="U338" s="39"/>
      <c r="V338" s="39"/>
      <c r="W338" s="39"/>
      <c r="X338" s="39"/>
    </row>
    <row r="339" spans="1:24" ht="17.25" hidden="1" customHeight="1" x14ac:dyDescent="0.25">
      <c r="A339" s="512"/>
      <c r="B339" s="5"/>
      <c r="C339" s="8"/>
      <c r="D339" s="5"/>
      <c r="E339" s="26"/>
      <c r="F339" s="26"/>
      <c r="G339" s="26"/>
      <c r="H339" s="26"/>
      <c r="I339" s="26"/>
      <c r="J339" s="26"/>
      <c r="K339" s="26"/>
      <c r="L339" s="515" t="s">
        <v>299</v>
      </c>
      <c r="M339" s="516"/>
      <c r="N339" s="39">
        <f t="shared" si="45"/>
        <v>3.1792799999999999</v>
      </c>
      <c r="O339" s="39">
        <f t="shared" si="45"/>
        <v>3.1792799999999999</v>
      </c>
      <c r="P339" s="39">
        <f t="shared" si="45"/>
        <v>3.1792799999999999</v>
      </c>
      <c r="Q339" s="39">
        <f t="shared" si="45"/>
        <v>3.1792799999999999</v>
      </c>
      <c r="R339" s="39">
        <f t="shared" si="41"/>
        <v>12.71712</v>
      </c>
      <c r="S339" s="28"/>
      <c r="T339" s="39"/>
      <c r="U339" s="39"/>
      <c r="V339" s="39"/>
      <c r="W339" s="39"/>
      <c r="X339" s="39"/>
    </row>
    <row r="340" spans="1:24" ht="55.5" hidden="1" customHeight="1" x14ac:dyDescent="0.25">
      <c r="A340" s="512"/>
      <c r="B340" s="5"/>
      <c r="C340" s="8"/>
      <c r="D340" s="5"/>
      <c r="E340" s="26"/>
      <c r="F340" s="26"/>
      <c r="G340" s="26"/>
      <c r="H340" s="26"/>
      <c r="I340" s="26"/>
      <c r="J340" s="26"/>
      <c r="K340" s="26"/>
      <c r="L340" s="26"/>
      <c r="M340" s="8" t="s">
        <v>498</v>
      </c>
      <c r="N340" s="39">
        <f>'[5]регфонд 2018'!$E$20/1000</f>
        <v>3.1792799999999999</v>
      </c>
      <c r="O340" s="39">
        <f>'[5]регфонд 2018'!$E$21/1000</f>
        <v>3.1792799999999999</v>
      </c>
      <c r="P340" s="39">
        <f>'[5]регфонд 2018'!$E$22/1000</f>
        <v>3.1792799999999999</v>
      </c>
      <c r="Q340" s="39">
        <f>'[5]регфонд 2018'!$E$23/1000</f>
        <v>3.1792799999999999</v>
      </c>
      <c r="R340" s="39">
        <f t="shared" si="41"/>
        <v>12.71712</v>
      </c>
      <c r="S340" s="28"/>
      <c r="T340" s="39"/>
      <c r="U340" s="39"/>
      <c r="V340" s="39"/>
      <c r="W340" s="39"/>
      <c r="X340" s="39"/>
    </row>
    <row r="341" spans="1:24" ht="17.25" customHeight="1" x14ac:dyDescent="0.25">
      <c r="A341" s="512"/>
      <c r="B341" s="5" t="s">
        <v>499</v>
      </c>
      <c r="C341" s="8" t="s">
        <v>203</v>
      </c>
      <c r="D341" s="5" t="s">
        <v>243</v>
      </c>
      <c r="E341" s="26">
        <f>N341</f>
        <v>17.025044399999999</v>
      </c>
      <c r="F341" s="26">
        <f>O341</f>
        <v>17.025044399999999</v>
      </c>
      <c r="G341" s="26">
        <f>P341</f>
        <v>17.025044399999999</v>
      </c>
      <c r="H341" s="26">
        <f>Q341</f>
        <v>17.025044399999999</v>
      </c>
      <c r="I341" s="26">
        <f>SUM(E341:H341)+0.02</f>
        <v>68.120177599999991</v>
      </c>
      <c r="J341" s="26">
        <f>I341*1.039</f>
        <v>70.77686452639999</v>
      </c>
      <c r="K341" s="26">
        <f>J341*1.039</f>
        <v>73.537162242929583</v>
      </c>
      <c r="L341" s="5" t="s">
        <v>499</v>
      </c>
      <c r="M341" s="8" t="s">
        <v>203</v>
      </c>
      <c r="N341" s="39">
        <f t="shared" ref="N341:Q342" si="46">N342</f>
        <v>17.025044399999999</v>
      </c>
      <c r="O341" s="39">
        <f t="shared" si="46"/>
        <v>17.025044399999999</v>
      </c>
      <c r="P341" s="39">
        <f t="shared" si="46"/>
        <v>17.025044399999999</v>
      </c>
      <c r="Q341" s="39">
        <f t="shared" si="46"/>
        <v>17.025044399999999</v>
      </c>
      <c r="R341" s="39">
        <f t="shared" si="41"/>
        <v>68.100177599999995</v>
      </c>
      <c r="S341" s="28"/>
      <c r="T341" s="39"/>
      <c r="U341" s="39"/>
      <c r="V341" s="39"/>
      <c r="W341" s="39"/>
      <c r="X341" s="39"/>
    </row>
    <row r="342" spans="1:24" ht="17.25" hidden="1" customHeight="1" x14ac:dyDescent="0.25">
      <c r="A342" s="512"/>
      <c r="B342" s="5"/>
      <c r="C342" s="8"/>
      <c r="D342" s="5"/>
      <c r="E342" s="26"/>
      <c r="F342" s="26"/>
      <c r="G342" s="26"/>
      <c r="H342" s="26"/>
      <c r="I342" s="26"/>
      <c r="J342" s="26"/>
      <c r="K342" s="26"/>
      <c r="L342" s="515" t="s">
        <v>299</v>
      </c>
      <c r="M342" s="516"/>
      <c r="N342" s="39">
        <f t="shared" si="46"/>
        <v>17.025044399999999</v>
      </c>
      <c r="O342" s="39">
        <f t="shared" si="46"/>
        <v>17.025044399999999</v>
      </c>
      <c r="P342" s="39">
        <f t="shared" si="46"/>
        <v>17.025044399999999</v>
      </c>
      <c r="Q342" s="39">
        <f t="shared" si="46"/>
        <v>17.025044399999999</v>
      </c>
      <c r="R342" s="39">
        <f t="shared" si="41"/>
        <v>68.100177599999995</v>
      </c>
      <c r="S342" s="28"/>
      <c r="T342" s="39"/>
      <c r="U342" s="39"/>
      <c r="V342" s="39"/>
      <c r="W342" s="39"/>
      <c r="X342" s="39"/>
    </row>
    <row r="343" spans="1:24" ht="31.5" hidden="1" customHeight="1" x14ac:dyDescent="0.25">
      <c r="A343" s="512"/>
      <c r="B343" s="5"/>
      <c r="C343" s="8"/>
      <c r="D343" s="5"/>
      <c r="E343" s="26"/>
      <c r="F343" s="26"/>
      <c r="G343" s="26"/>
      <c r="H343" s="26"/>
      <c r="I343" s="26"/>
      <c r="J343" s="26"/>
      <c r="K343" s="26"/>
      <c r="L343" s="26"/>
      <c r="M343" s="8" t="s">
        <v>500</v>
      </c>
      <c r="N343" s="39">
        <f>'[5]Норильск 2018'!$BI$74/1000</f>
        <v>17.025044399999999</v>
      </c>
      <c r="O343" s="39">
        <f>'[5]Норильск 2018'!$BI$75/1000</f>
        <v>17.025044399999999</v>
      </c>
      <c r="P343" s="39">
        <f>'[5]Норильск 2018'!$BI$76/1000</f>
        <v>17.025044399999999</v>
      </c>
      <c r="Q343" s="39">
        <f>'[5]Норильск 2018'!$BI$77/1000</f>
        <v>17.025044399999999</v>
      </c>
      <c r="R343" s="39">
        <f t="shared" si="41"/>
        <v>68.100177599999995</v>
      </c>
      <c r="S343" s="28"/>
      <c r="T343" s="39">
        <f>N343*20%</f>
        <v>3.40500888</v>
      </c>
      <c r="U343" s="39">
        <f>O343*20%</f>
        <v>3.40500888</v>
      </c>
      <c r="V343" s="39">
        <f>P343*20%</f>
        <v>3.40500888</v>
      </c>
      <c r="W343" s="39">
        <f>Q343*20%</f>
        <v>3.40500888</v>
      </c>
      <c r="X343" s="39">
        <f>SUM(T343:W343)</f>
        <v>13.62003552</v>
      </c>
    </row>
    <row r="344" spans="1:24" ht="17.25" customHeight="1" x14ac:dyDescent="0.25">
      <c r="A344" s="512"/>
      <c r="B344" s="5" t="s">
        <v>501</v>
      </c>
      <c r="C344" s="8" t="s">
        <v>205</v>
      </c>
      <c r="D344" s="5" t="s">
        <v>243</v>
      </c>
      <c r="E344" s="26">
        <f>N344</f>
        <v>3.8431999999999999</v>
      </c>
      <c r="F344" s="26">
        <f>O344</f>
        <v>3.8431999999999999</v>
      </c>
      <c r="G344" s="26">
        <f>P344</f>
        <v>10.023199999999999</v>
      </c>
      <c r="H344" s="26">
        <f>Q344</f>
        <v>3.8431999999999999</v>
      </c>
      <c r="I344" s="26">
        <f>SUM(E344:H344)-0.01</f>
        <v>21.542799999999996</v>
      </c>
      <c r="J344" s="26">
        <f>I344*1.039</f>
        <v>22.382969199999994</v>
      </c>
      <c r="K344" s="26">
        <f>J344*1.039</f>
        <v>23.255904998799991</v>
      </c>
      <c r="L344" s="5" t="s">
        <v>501</v>
      </c>
      <c r="M344" s="8" t="s">
        <v>205</v>
      </c>
      <c r="N344" s="39">
        <f>N345+N347</f>
        <v>3.8431999999999999</v>
      </c>
      <c r="O344" s="39">
        <f>O345+O347</f>
        <v>3.8431999999999999</v>
      </c>
      <c r="P344" s="39">
        <f>P345+P347</f>
        <v>10.023199999999999</v>
      </c>
      <c r="Q344" s="39">
        <f>Q345+Q347</f>
        <v>3.8431999999999999</v>
      </c>
      <c r="R344" s="39">
        <f t="shared" si="41"/>
        <v>21.552799999999998</v>
      </c>
      <c r="S344" s="28" t="s">
        <v>245</v>
      </c>
      <c r="T344" s="39"/>
      <c r="U344" s="39"/>
      <c r="V344" s="39"/>
      <c r="W344" s="39"/>
      <c r="X344" s="39"/>
    </row>
    <row r="345" spans="1:24" ht="17.25" hidden="1" customHeight="1" x14ac:dyDescent="0.25">
      <c r="A345" s="512"/>
      <c r="B345" s="5"/>
      <c r="C345" s="8"/>
      <c r="D345" s="5"/>
      <c r="E345" s="26"/>
      <c r="F345" s="26"/>
      <c r="G345" s="26"/>
      <c r="H345" s="26"/>
      <c r="I345" s="26"/>
      <c r="J345" s="26"/>
      <c r="K345" s="26"/>
      <c r="L345" s="515" t="s">
        <v>298</v>
      </c>
      <c r="M345" s="516"/>
      <c r="N345" s="39">
        <f>N346</f>
        <v>3.5</v>
      </c>
      <c r="O345" s="39">
        <f>O346</f>
        <v>3.5</v>
      </c>
      <c r="P345" s="39">
        <f>P346</f>
        <v>9.68</v>
      </c>
      <c r="Q345" s="39">
        <f>Q346</f>
        <v>3.5</v>
      </c>
      <c r="R345" s="39">
        <f t="shared" si="41"/>
        <v>20.18</v>
      </c>
      <c r="S345" s="28"/>
      <c r="T345" s="39"/>
      <c r="U345" s="39"/>
      <c r="V345" s="39"/>
      <c r="W345" s="39"/>
      <c r="X345" s="39"/>
    </row>
    <row r="346" spans="1:24" ht="66.75" hidden="1" customHeight="1" x14ac:dyDescent="0.25">
      <c r="A346" s="512"/>
      <c r="B346" s="5"/>
      <c r="C346" s="8"/>
      <c r="D346" s="5"/>
      <c r="E346" s="26"/>
      <c r="F346" s="26"/>
      <c r="G346" s="26"/>
      <c r="H346" s="26"/>
      <c r="I346" s="26"/>
      <c r="J346" s="26"/>
      <c r="K346" s="26"/>
      <c r="L346" s="26"/>
      <c r="M346" s="4" t="s">
        <v>502</v>
      </c>
      <c r="N346" s="39">
        <v>3.5</v>
      </c>
      <c r="O346" s="39">
        <v>3.5</v>
      </c>
      <c r="P346" s="39">
        <f>9.68</f>
        <v>9.68</v>
      </c>
      <c r="Q346" s="39">
        <v>3.5</v>
      </c>
      <c r="R346" s="39">
        <f t="shared" si="41"/>
        <v>20.18</v>
      </c>
      <c r="S346" s="28"/>
      <c r="T346" s="39"/>
      <c r="U346" s="39"/>
      <c r="V346" s="39"/>
      <c r="W346" s="39"/>
      <c r="X346" s="39"/>
    </row>
    <row r="347" spans="1:24" ht="17.25" hidden="1" customHeight="1" x14ac:dyDescent="0.25">
      <c r="A347" s="512"/>
      <c r="B347" s="5"/>
      <c r="C347" s="8"/>
      <c r="D347" s="5"/>
      <c r="E347" s="26"/>
      <c r="F347" s="26"/>
      <c r="G347" s="26"/>
      <c r="H347" s="26"/>
      <c r="I347" s="26"/>
      <c r="J347" s="26"/>
      <c r="K347" s="26"/>
      <c r="L347" s="515" t="s">
        <v>59</v>
      </c>
      <c r="M347" s="516"/>
      <c r="N347" s="39">
        <f>N348</f>
        <v>0.34320000000000001</v>
      </c>
      <c r="O347" s="39">
        <f>O348</f>
        <v>0.34320000000000001</v>
      </c>
      <c r="P347" s="39">
        <f>P348</f>
        <v>0.34320000000000001</v>
      </c>
      <c r="Q347" s="39">
        <f>Q348</f>
        <v>0.34320000000000001</v>
      </c>
      <c r="R347" s="39">
        <f t="shared" si="41"/>
        <v>1.3728</v>
      </c>
      <c r="S347" s="28"/>
      <c r="T347" s="39"/>
      <c r="U347" s="39"/>
      <c r="V347" s="39"/>
      <c r="W347" s="39"/>
      <c r="X347" s="39"/>
    </row>
    <row r="348" spans="1:24" ht="42" hidden="1" customHeight="1" x14ac:dyDescent="0.25">
      <c r="A348" s="512"/>
      <c r="B348" s="5"/>
      <c r="C348" s="8"/>
      <c r="D348" s="5"/>
      <c r="E348" s="26"/>
      <c r="F348" s="26"/>
      <c r="G348" s="26"/>
      <c r="H348" s="26"/>
      <c r="I348" s="26"/>
      <c r="J348" s="26"/>
      <c r="K348" s="26"/>
      <c r="L348" s="32"/>
      <c r="M348" s="4" t="s">
        <v>503</v>
      </c>
      <c r="N348" s="39">
        <f>0.1144*3</f>
        <v>0.34320000000000001</v>
      </c>
      <c r="O348" s="39">
        <f>0.1144*3</f>
        <v>0.34320000000000001</v>
      </c>
      <c r="P348" s="39">
        <f>0.1144*3</f>
        <v>0.34320000000000001</v>
      </c>
      <c r="Q348" s="39">
        <f>0.1144*3</f>
        <v>0.34320000000000001</v>
      </c>
      <c r="R348" s="39">
        <f t="shared" si="41"/>
        <v>1.3728</v>
      </c>
      <c r="S348" s="28"/>
      <c r="T348" s="39"/>
      <c r="U348" s="39"/>
      <c r="V348" s="39"/>
      <c r="W348" s="39"/>
      <c r="X348" s="39"/>
    </row>
    <row r="349" spans="1:24" ht="17.25" hidden="1" customHeight="1" x14ac:dyDescent="0.25">
      <c r="A349" s="512"/>
      <c r="B349" s="5"/>
      <c r="C349" s="8"/>
      <c r="D349" s="5"/>
      <c r="E349" s="26"/>
      <c r="F349" s="26"/>
      <c r="G349" s="26"/>
      <c r="H349" s="26"/>
      <c r="I349" s="26"/>
      <c r="J349" s="26"/>
      <c r="K349" s="26"/>
      <c r="L349" s="26"/>
      <c r="M349" s="22"/>
      <c r="N349" s="39"/>
      <c r="O349" s="39"/>
      <c r="P349" s="39"/>
      <c r="Q349" s="39"/>
      <c r="R349" s="39"/>
      <c r="S349" s="28"/>
      <c r="T349" s="39"/>
      <c r="U349" s="39"/>
      <c r="V349" s="39"/>
      <c r="W349" s="39"/>
      <c r="X349" s="39"/>
    </row>
    <row r="350" spans="1:24" ht="17.25" hidden="1" customHeight="1" x14ac:dyDescent="0.25">
      <c r="A350" s="512"/>
      <c r="B350" s="5"/>
      <c r="C350" s="8"/>
      <c r="D350" s="5"/>
      <c r="E350" s="26"/>
      <c r="F350" s="26"/>
      <c r="G350" s="26"/>
      <c r="H350" s="26"/>
      <c r="I350" s="26"/>
      <c r="J350" s="26"/>
      <c r="K350" s="26"/>
      <c r="L350" s="26"/>
      <c r="M350" s="22"/>
      <c r="N350" s="39"/>
      <c r="O350" s="39"/>
      <c r="P350" s="39"/>
      <c r="Q350" s="39"/>
      <c r="R350" s="39"/>
      <c r="S350" s="28"/>
      <c r="T350" s="39"/>
      <c r="U350" s="39"/>
      <c r="V350" s="39"/>
      <c r="W350" s="39"/>
      <c r="X350" s="39"/>
    </row>
    <row r="351" spans="1:24" ht="17.25" customHeight="1" x14ac:dyDescent="0.25">
      <c r="A351" s="512"/>
      <c r="B351" s="5" t="s">
        <v>504</v>
      </c>
      <c r="C351" s="8" t="s">
        <v>207</v>
      </c>
      <c r="D351" s="5" t="s">
        <v>243</v>
      </c>
      <c r="E351" s="26">
        <v>6.1522100000000002</v>
      </c>
      <c r="F351" s="26">
        <v>1.9826999999999999</v>
      </c>
      <c r="G351" s="26">
        <v>241.98269999999999</v>
      </c>
      <c r="H351" s="26">
        <v>12</v>
      </c>
      <c r="I351" s="26">
        <f>SUM(E351:H351)-0.01</f>
        <v>262.10761000000002</v>
      </c>
      <c r="J351" s="26">
        <f>I351</f>
        <v>262.10761000000002</v>
      </c>
      <c r="K351" s="26">
        <f>J351</f>
        <v>262.10761000000002</v>
      </c>
      <c r="L351" s="5" t="s">
        <v>504</v>
      </c>
      <c r="M351" s="8" t="s">
        <v>207</v>
      </c>
      <c r="N351" s="39">
        <f>N352+N354+N362</f>
        <v>9.6199200000000005</v>
      </c>
      <c r="O351" s="39">
        <f>O352+O354+O362</f>
        <v>9.6199200000000022</v>
      </c>
      <c r="P351" s="39">
        <f>P352+P354+P362</f>
        <v>249.61992000000001</v>
      </c>
      <c r="Q351" s="39">
        <f>Q352+Q354+Q362</f>
        <v>9.6199200000000022</v>
      </c>
      <c r="R351" s="39">
        <f t="shared" ref="R351:R361" si="47">SUM(N351:Q351)</f>
        <v>278.47967999999997</v>
      </c>
      <c r="S351" s="28"/>
      <c r="T351" s="39"/>
      <c r="U351" s="39"/>
      <c r="V351" s="39"/>
      <c r="W351" s="39"/>
      <c r="X351" s="39"/>
    </row>
    <row r="352" spans="1:24" ht="17.25" hidden="1" customHeight="1" x14ac:dyDescent="0.25">
      <c r="A352" s="512"/>
      <c r="B352" s="5"/>
      <c r="C352" s="8"/>
      <c r="D352" s="5"/>
      <c r="E352" s="26"/>
      <c r="F352" s="26"/>
      <c r="G352" s="26"/>
      <c r="H352" s="26"/>
      <c r="I352" s="26"/>
      <c r="J352" s="26"/>
      <c r="K352" s="26"/>
      <c r="L352" s="515" t="s">
        <v>298</v>
      </c>
      <c r="M352" s="516"/>
      <c r="N352" s="39">
        <f>N353</f>
        <v>1.6733099999999999</v>
      </c>
      <c r="O352" s="39">
        <f>O353</f>
        <v>1.6733100000000001</v>
      </c>
      <c r="P352" s="39">
        <f>P353</f>
        <v>1.6733100000000001</v>
      </c>
      <c r="Q352" s="39">
        <f>Q353</f>
        <v>1.6733100000000001</v>
      </c>
      <c r="R352" s="39">
        <f t="shared" si="47"/>
        <v>6.6932399999999994</v>
      </c>
      <c r="S352" s="28"/>
      <c r="T352" s="39"/>
      <c r="U352" s="39"/>
      <c r="V352" s="39"/>
      <c r="W352" s="39"/>
      <c r="X352" s="39"/>
    </row>
    <row r="353" spans="1:24" ht="26.25" hidden="1" customHeight="1" x14ac:dyDescent="0.25">
      <c r="A353" s="512"/>
      <c r="B353" s="5"/>
      <c r="C353" s="8"/>
      <c r="D353" s="5"/>
      <c r="E353" s="26"/>
      <c r="F353" s="26"/>
      <c r="G353" s="26"/>
      <c r="H353" s="26"/>
      <c r="I353" s="26"/>
      <c r="J353" s="26"/>
      <c r="K353" s="26"/>
      <c r="L353" s="26"/>
      <c r="M353" s="34" t="s">
        <v>505</v>
      </c>
      <c r="N353" s="76">
        <f>0.55777*3</f>
        <v>1.6733099999999999</v>
      </c>
      <c r="O353" s="39">
        <v>1.6733100000000001</v>
      </c>
      <c r="P353" s="39">
        <v>1.6733100000000001</v>
      </c>
      <c r="Q353" s="39">
        <v>1.6733100000000001</v>
      </c>
      <c r="R353" s="39">
        <f t="shared" si="47"/>
        <v>6.6932399999999994</v>
      </c>
      <c r="S353" s="28"/>
      <c r="T353" s="39"/>
      <c r="U353" s="39"/>
      <c r="V353" s="39"/>
      <c r="W353" s="39"/>
      <c r="X353" s="39"/>
    </row>
    <row r="354" spans="1:24" ht="17.25" hidden="1" customHeight="1" x14ac:dyDescent="0.25">
      <c r="A354" s="512"/>
      <c r="B354" s="5"/>
      <c r="C354" s="8"/>
      <c r="D354" s="5"/>
      <c r="E354" s="26"/>
      <c r="F354" s="26"/>
      <c r="G354" s="26"/>
      <c r="H354" s="26"/>
      <c r="I354" s="26"/>
      <c r="J354" s="26"/>
      <c r="K354" s="26"/>
      <c r="L354" s="515" t="s">
        <v>336</v>
      </c>
      <c r="M354" s="516"/>
      <c r="N354" s="39">
        <f>SUM(N355:N361)</f>
        <v>7.9466100000000015</v>
      </c>
      <c r="O354" s="39">
        <f>SUM(O355:O361)</f>
        <v>7.9466100000000015</v>
      </c>
      <c r="P354" s="39">
        <f>SUM(P355:P361)</f>
        <v>7.9466100000000015</v>
      </c>
      <c r="Q354" s="39">
        <f>SUM(Q355:Q361)</f>
        <v>7.9466100000000015</v>
      </c>
      <c r="R354" s="39">
        <f t="shared" si="47"/>
        <v>31.786440000000006</v>
      </c>
      <c r="S354" s="28"/>
      <c r="T354" s="39"/>
      <c r="U354" s="39"/>
      <c r="V354" s="39"/>
      <c r="W354" s="39"/>
      <c r="X354" s="39"/>
    </row>
    <row r="355" spans="1:24" ht="23.25" hidden="1" customHeight="1" x14ac:dyDescent="0.25">
      <c r="A355" s="512"/>
      <c r="B355" s="5"/>
      <c r="C355" s="8"/>
      <c r="D355" s="5"/>
      <c r="E355" s="26"/>
      <c r="F355" s="26"/>
      <c r="G355" s="26"/>
      <c r="H355" s="26"/>
      <c r="I355" s="26"/>
      <c r="J355" s="26"/>
      <c r="K355" s="26"/>
      <c r="L355" s="32"/>
      <c r="M355" s="34" t="s">
        <v>506</v>
      </c>
      <c r="N355" s="76">
        <f>0.0843*3</f>
        <v>0.25290000000000001</v>
      </c>
      <c r="O355" s="39">
        <v>0.25290000000000001</v>
      </c>
      <c r="P355" s="39">
        <v>0.25290000000000001</v>
      </c>
      <c r="Q355" s="39">
        <v>0.25290000000000001</v>
      </c>
      <c r="R355" s="39">
        <f t="shared" si="47"/>
        <v>1.0116000000000001</v>
      </c>
      <c r="S355" s="28"/>
      <c r="T355" s="39"/>
      <c r="U355" s="39"/>
      <c r="V355" s="39"/>
      <c r="W355" s="39"/>
      <c r="X355" s="39"/>
    </row>
    <row r="356" spans="1:24" ht="23.25" hidden="1" customHeight="1" x14ac:dyDescent="0.25">
      <c r="A356" s="512"/>
      <c r="B356" s="5"/>
      <c r="C356" s="8"/>
      <c r="D356" s="5"/>
      <c r="E356" s="26"/>
      <c r="F356" s="26"/>
      <c r="G356" s="26"/>
      <c r="H356" s="26"/>
      <c r="I356" s="26"/>
      <c r="J356" s="26"/>
      <c r="K356" s="26"/>
      <c r="L356" s="32"/>
      <c r="M356" s="34" t="s">
        <v>507</v>
      </c>
      <c r="N356" s="76">
        <f t="shared" ref="N356:Q358" si="48">0.642*3</f>
        <v>1.9260000000000002</v>
      </c>
      <c r="O356" s="76">
        <f t="shared" si="48"/>
        <v>1.9260000000000002</v>
      </c>
      <c r="P356" s="76">
        <f t="shared" si="48"/>
        <v>1.9260000000000002</v>
      </c>
      <c r="Q356" s="76">
        <f t="shared" si="48"/>
        <v>1.9260000000000002</v>
      </c>
      <c r="R356" s="39">
        <f t="shared" si="47"/>
        <v>7.7040000000000006</v>
      </c>
      <c r="S356" s="28"/>
      <c r="T356" s="39"/>
      <c r="U356" s="39"/>
      <c r="V356" s="39"/>
      <c r="W356" s="39"/>
      <c r="X356" s="39"/>
    </row>
    <row r="357" spans="1:24" ht="23.25" hidden="1" customHeight="1" x14ac:dyDescent="0.25">
      <c r="A357" s="512"/>
      <c r="B357" s="5"/>
      <c r="C357" s="8"/>
      <c r="D357" s="5"/>
      <c r="E357" s="26"/>
      <c r="F357" s="26"/>
      <c r="G357" s="26"/>
      <c r="H357" s="26"/>
      <c r="I357" s="26"/>
      <c r="J357" s="26"/>
      <c r="K357" s="26"/>
      <c r="L357" s="32"/>
      <c r="M357" s="34" t="s">
        <v>508</v>
      </c>
      <c r="N357" s="76">
        <f t="shared" si="48"/>
        <v>1.9260000000000002</v>
      </c>
      <c r="O357" s="76">
        <f t="shared" si="48"/>
        <v>1.9260000000000002</v>
      </c>
      <c r="P357" s="76">
        <f t="shared" si="48"/>
        <v>1.9260000000000002</v>
      </c>
      <c r="Q357" s="76">
        <f t="shared" si="48"/>
        <v>1.9260000000000002</v>
      </c>
      <c r="R357" s="39">
        <f t="shared" si="47"/>
        <v>7.7040000000000006</v>
      </c>
      <c r="S357" s="28"/>
      <c r="T357" s="39"/>
      <c r="U357" s="39"/>
      <c r="V357" s="39"/>
      <c r="W357" s="39"/>
      <c r="X357" s="39"/>
    </row>
    <row r="358" spans="1:24" ht="23.25" hidden="1" customHeight="1" x14ac:dyDescent="0.25">
      <c r="A358" s="512"/>
      <c r="B358" s="5"/>
      <c r="C358" s="8"/>
      <c r="D358" s="5"/>
      <c r="E358" s="26"/>
      <c r="F358" s="26"/>
      <c r="G358" s="26"/>
      <c r="H358" s="26"/>
      <c r="I358" s="26"/>
      <c r="J358" s="26"/>
      <c r="K358" s="26"/>
      <c r="L358" s="32"/>
      <c r="M358" s="34" t="s">
        <v>509</v>
      </c>
      <c r="N358" s="76">
        <f t="shared" si="48"/>
        <v>1.9260000000000002</v>
      </c>
      <c r="O358" s="76">
        <f t="shared" si="48"/>
        <v>1.9260000000000002</v>
      </c>
      <c r="P358" s="76">
        <f t="shared" si="48"/>
        <v>1.9260000000000002</v>
      </c>
      <c r="Q358" s="76">
        <f t="shared" si="48"/>
        <v>1.9260000000000002</v>
      </c>
      <c r="R358" s="39">
        <f t="shared" si="47"/>
        <v>7.7040000000000006</v>
      </c>
      <c r="S358" s="28"/>
      <c r="T358" s="39"/>
      <c r="U358" s="39"/>
      <c r="V358" s="39"/>
      <c r="W358" s="39"/>
      <c r="X358" s="39"/>
    </row>
    <row r="359" spans="1:24" ht="23.25" hidden="1" customHeight="1" x14ac:dyDescent="0.25">
      <c r="A359" s="512"/>
      <c r="B359" s="5"/>
      <c r="C359" s="8"/>
      <c r="D359" s="5"/>
      <c r="E359" s="26"/>
      <c r="F359" s="26"/>
      <c r="G359" s="26"/>
      <c r="H359" s="26"/>
      <c r="I359" s="26"/>
      <c r="J359" s="26"/>
      <c r="K359" s="26"/>
      <c r="L359" s="32"/>
      <c r="M359" s="34" t="s">
        <v>510</v>
      </c>
      <c r="N359" s="77">
        <f>0.0843*3</f>
        <v>0.25290000000000001</v>
      </c>
      <c r="O359" s="77">
        <f>0.0843*3</f>
        <v>0.25290000000000001</v>
      </c>
      <c r="P359" s="77">
        <f>0.0843*3</f>
        <v>0.25290000000000001</v>
      </c>
      <c r="Q359" s="77">
        <f>0.0843*3</f>
        <v>0.25290000000000001</v>
      </c>
      <c r="R359" s="39">
        <f t="shared" si="47"/>
        <v>1.0116000000000001</v>
      </c>
      <c r="S359" s="28"/>
      <c r="T359" s="39"/>
      <c r="U359" s="39"/>
      <c r="V359" s="39"/>
      <c r="W359" s="39"/>
      <c r="X359" s="39"/>
    </row>
    <row r="360" spans="1:24" ht="23.25" hidden="1" customHeight="1" x14ac:dyDescent="0.25">
      <c r="A360" s="512"/>
      <c r="B360" s="5"/>
      <c r="C360" s="8"/>
      <c r="D360" s="5"/>
      <c r="E360" s="26"/>
      <c r="F360" s="26"/>
      <c r="G360" s="26"/>
      <c r="H360" s="26"/>
      <c r="I360" s="26"/>
      <c r="J360" s="26"/>
      <c r="K360" s="26"/>
      <c r="L360" s="32"/>
      <c r="M360" s="34" t="s">
        <v>511</v>
      </c>
      <c r="N360" s="77">
        <f>0.1166*3</f>
        <v>0.3498</v>
      </c>
      <c r="O360" s="77">
        <f>0.1166*3</f>
        <v>0.3498</v>
      </c>
      <c r="P360" s="77">
        <f>0.1166*3</f>
        <v>0.3498</v>
      </c>
      <c r="Q360" s="77">
        <f>0.1166*3</f>
        <v>0.3498</v>
      </c>
      <c r="R360" s="39">
        <f t="shared" si="47"/>
        <v>1.3992</v>
      </c>
      <c r="S360" s="28"/>
      <c r="T360" s="39"/>
      <c r="U360" s="39"/>
      <c r="V360" s="39"/>
      <c r="W360" s="39"/>
      <c r="X360" s="39"/>
    </row>
    <row r="361" spans="1:24" ht="23.25" hidden="1" customHeight="1" x14ac:dyDescent="0.25">
      <c r="A361" s="512"/>
      <c r="B361" s="5"/>
      <c r="C361" s="8"/>
      <c r="D361" s="5"/>
      <c r="E361" s="26"/>
      <c r="F361" s="26"/>
      <c r="G361" s="26"/>
      <c r="H361" s="26"/>
      <c r="I361" s="26"/>
      <c r="J361" s="26"/>
      <c r="K361" s="26"/>
      <c r="L361" s="32"/>
      <c r="M361" s="34" t="s">
        <v>512</v>
      </c>
      <c r="N361" s="77">
        <f>0.43767*3</f>
        <v>1.31301</v>
      </c>
      <c r="O361" s="77">
        <f>0.43767*3</f>
        <v>1.31301</v>
      </c>
      <c r="P361" s="77">
        <f>0.43767*3</f>
        <v>1.31301</v>
      </c>
      <c r="Q361" s="77">
        <f>0.43767*3</f>
        <v>1.31301</v>
      </c>
      <c r="R361" s="39">
        <f t="shared" si="47"/>
        <v>5.25204</v>
      </c>
      <c r="S361" s="28"/>
      <c r="T361" s="39"/>
      <c r="U361" s="39"/>
      <c r="V361" s="39"/>
      <c r="W361" s="39"/>
      <c r="X361" s="39"/>
    </row>
    <row r="362" spans="1:24" ht="17.25" hidden="1" customHeight="1" x14ac:dyDescent="0.25">
      <c r="A362" s="512"/>
      <c r="B362" s="5"/>
      <c r="C362" s="8"/>
      <c r="D362" s="5"/>
      <c r="E362" s="26"/>
      <c r="F362" s="26"/>
      <c r="G362" s="26"/>
      <c r="H362" s="26"/>
      <c r="I362" s="26"/>
      <c r="J362" s="26"/>
      <c r="K362" s="26"/>
      <c r="L362" s="515" t="s">
        <v>13</v>
      </c>
      <c r="M362" s="516"/>
      <c r="N362" s="39">
        <f>N363</f>
        <v>0</v>
      </c>
      <c r="O362" s="39">
        <f>O363</f>
        <v>0</v>
      </c>
      <c r="P362" s="39">
        <f>P363</f>
        <v>240</v>
      </c>
      <c r="Q362" s="39">
        <f>Q363</f>
        <v>0</v>
      </c>
      <c r="R362" s="39">
        <f>R363</f>
        <v>240</v>
      </c>
      <c r="S362" s="28"/>
      <c r="T362" s="39"/>
      <c r="U362" s="39"/>
      <c r="V362" s="39"/>
      <c r="W362" s="39"/>
      <c r="X362" s="39"/>
    </row>
    <row r="363" spans="1:24" ht="17.25" hidden="1" customHeight="1" x14ac:dyDescent="0.25">
      <c r="A363" s="512"/>
      <c r="B363" s="5"/>
      <c r="C363" s="8"/>
      <c r="D363" s="5"/>
      <c r="E363" s="26"/>
      <c r="F363" s="26"/>
      <c r="G363" s="26"/>
      <c r="H363" s="26"/>
      <c r="I363" s="26"/>
      <c r="J363" s="26"/>
      <c r="K363" s="26"/>
      <c r="L363" s="26"/>
      <c r="M363" s="22" t="s">
        <v>513</v>
      </c>
      <c r="N363" s="39"/>
      <c r="O363" s="39"/>
      <c r="P363" s="39">
        <v>240</v>
      </c>
      <c r="Q363" s="39"/>
      <c r="R363" s="39">
        <f>SUM(N363:Q363)</f>
        <v>240</v>
      </c>
      <c r="S363" s="28"/>
      <c r="T363" s="39"/>
      <c r="U363" s="39"/>
      <c r="V363" s="39"/>
      <c r="W363" s="39"/>
      <c r="X363" s="39"/>
    </row>
    <row r="364" spans="1:24" ht="17.25" customHeight="1" x14ac:dyDescent="0.25">
      <c r="A364" s="512"/>
      <c r="B364" s="5" t="s">
        <v>514</v>
      </c>
      <c r="C364" s="8" t="s">
        <v>209</v>
      </c>
      <c r="D364" s="5" t="s">
        <v>243</v>
      </c>
      <c r="E364" s="26">
        <v>0</v>
      </c>
      <c r="F364" s="26">
        <v>100</v>
      </c>
      <c r="G364" s="26">
        <v>100</v>
      </c>
      <c r="H364" s="26">
        <v>0</v>
      </c>
      <c r="I364" s="26">
        <f>SUM(E364:H364)</f>
        <v>200</v>
      </c>
      <c r="J364" s="26">
        <f>I364</f>
        <v>200</v>
      </c>
      <c r="K364" s="26">
        <f>J364</f>
        <v>200</v>
      </c>
      <c r="L364" s="515" t="s">
        <v>298</v>
      </c>
      <c r="M364" s="516"/>
      <c r="N364" s="39">
        <f>E364</f>
        <v>0</v>
      </c>
      <c r="O364" s="39">
        <f>F364</f>
        <v>100</v>
      </c>
      <c r="P364" s="39">
        <f>G364</f>
        <v>100</v>
      </c>
      <c r="Q364" s="39">
        <f>H364</f>
        <v>0</v>
      </c>
      <c r="R364" s="39">
        <f>SUM(N364:Q364)</f>
        <v>200</v>
      </c>
      <c r="S364" s="28"/>
      <c r="T364" s="39"/>
      <c r="U364" s="39"/>
      <c r="V364" s="39"/>
      <c r="W364" s="39"/>
      <c r="X364" s="39"/>
    </row>
    <row r="365" spans="1:24" ht="17.25" customHeight="1" x14ac:dyDescent="0.25">
      <c r="A365" s="512"/>
      <c r="B365" s="5" t="s">
        <v>515</v>
      </c>
      <c r="C365" s="8" t="s">
        <v>211</v>
      </c>
      <c r="D365" s="5" t="s">
        <v>243</v>
      </c>
      <c r="E365" s="26">
        <f>N365</f>
        <v>14</v>
      </c>
      <c r="F365" s="26">
        <f>O365</f>
        <v>0</v>
      </c>
      <c r="G365" s="26">
        <f>P365</f>
        <v>66</v>
      </c>
      <c r="H365" s="26">
        <f>Q365</f>
        <v>0</v>
      </c>
      <c r="I365" s="26">
        <f>SUM(E365:H365)</f>
        <v>80</v>
      </c>
      <c r="J365" s="26">
        <f>I365</f>
        <v>80</v>
      </c>
      <c r="K365" s="26">
        <f>J365</f>
        <v>80</v>
      </c>
      <c r="L365" s="5" t="s">
        <v>515</v>
      </c>
      <c r="M365" s="8" t="s">
        <v>211</v>
      </c>
      <c r="N365" s="39">
        <f>N366</f>
        <v>14</v>
      </c>
      <c r="O365" s="39">
        <f>O366</f>
        <v>0</v>
      </c>
      <c r="P365" s="39">
        <f>P366</f>
        <v>66</v>
      </c>
      <c r="Q365" s="39">
        <f>Q366</f>
        <v>0</v>
      </c>
      <c r="R365" s="39">
        <f>R366</f>
        <v>80</v>
      </c>
      <c r="S365" s="28"/>
      <c r="T365" s="39"/>
      <c r="U365" s="39"/>
      <c r="V365" s="39"/>
      <c r="W365" s="39"/>
      <c r="X365" s="39"/>
    </row>
    <row r="366" spans="1:24" ht="17.25" hidden="1" customHeight="1" x14ac:dyDescent="0.25">
      <c r="A366" s="512"/>
      <c r="B366" s="5"/>
      <c r="C366" s="8"/>
      <c r="D366" s="5"/>
      <c r="E366" s="26"/>
      <c r="F366" s="26"/>
      <c r="G366" s="26"/>
      <c r="H366" s="26"/>
      <c r="I366" s="26"/>
      <c r="J366" s="26"/>
      <c r="K366" s="26"/>
      <c r="L366" s="515" t="s">
        <v>13</v>
      </c>
      <c r="M366" s="516"/>
      <c r="N366" s="39">
        <f>N367</f>
        <v>14</v>
      </c>
      <c r="O366" s="39">
        <f>O367</f>
        <v>0</v>
      </c>
      <c r="P366" s="39">
        <f>P367</f>
        <v>66</v>
      </c>
      <c r="Q366" s="39">
        <f>Q367</f>
        <v>0</v>
      </c>
      <c r="R366" s="39">
        <f>SUM(N366:Q366)</f>
        <v>80</v>
      </c>
      <c r="S366" s="28"/>
      <c r="T366" s="39"/>
      <c r="U366" s="39"/>
      <c r="V366" s="39"/>
      <c r="W366" s="39"/>
      <c r="X366" s="39"/>
    </row>
    <row r="367" spans="1:24" ht="27" hidden="1" customHeight="1" x14ac:dyDescent="0.25">
      <c r="A367" s="512"/>
      <c r="B367" s="5"/>
      <c r="C367" s="8"/>
      <c r="D367" s="5"/>
      <c r="E367" s="26"/>
      <c r="F367" s="26"/>
      <c r="G367" s="26"/>
      <c r="H367" s="26"/>
      <c r="I367" s="26"/>
      <c r="J367" s="26"/>
      <c r="K367" s="26"/>
      <c r="L367" s="26"/>
      <c r="M367" s="8" t="s">
        <v>516</v>
      </c>
      <c r="N367" s="39">
        <v>14</v>
      </c>
      <c r="O367" s="39"/>
      <c r="P367" s="39">
        <f>11*6</f>
        <v>66</v>
      </c>
      <c r="Q367" s="39"/>
      <c r="R367" s="39">
        <f>SUM(N367:Q367)</f>
        <v>80</v>
      </c>
      <c r="S367" s="28"/>
      <c r="T367" s="39"/>
      <c r="U367" s="39"/>
      <c r="V367" s="39"/>
      <c r="W367" s="39"/>
      <c r="X367" s="39"/>
    </row>
    <row r="368" spans="1:24" ht="17.25" hidden="1" customHeight="1" x14ac:dyDescent="0.25">
      <c r="A368" s="512"/>
      <c r="B368" s="5"/>
      <c r="C368" s="8"/>
      <c r="D368" s="5"/>
      <c r="E368" s="26"/>
      <c r="F368" s="26"/>
      <c r="G368" s="26"/>
      <c r="H368" s="26"/>
      <c r="I368" s="26"/>
      <c r="J368" s="26"/>
      <c r="K368" s="26"/>
      <c r="L368" s="26"/>
      <c r="N368" s="39"/>
      <c r="O368" s="39"/>
      <c r="P368" s="39"/>
      <c r="Q368" s="39"/>
      <c r="R368" s="39"/>
      <c r="S368" s="28"/>
      <c r="T368" s="39"/>
      <c r="U368" s="39"/>
      <c r="V368" s="39"/>
      <c r="W368" s="39"/>
      <c r="X368" s="39"/>
    </row>
    <row r="369" spans="1:24" ht="26.25" customHeight="1" x14ac:dyDescent="0.25">
      <c r="A369" s="512"/>
      <c r="B369" s="5" t="s">
        <v>517</v>
      </c>
      <c r="C369" s="4" t="s">
        <v>213</v>
      </c>
      <c r="D369" s="5" t="s">
        <v>243</v>
      </c>
      <c r="E369" s="26">
        <f>92/2/4*30</f>
        <v>345</v>
      </c>
      <c r="F369" s="26">
        <f>92/2/4*30</f>
        <v>345</v>
      </c>
      <c r="G369" s="26">
        <f>92/2/4*30</f>
        <v>345</v>
      </c>
      <c r="H369" s="26">
        <f>92/2/4*30</f>
        <v>345</v>
      </c>
      <c r="I369" s="26">
        <f>SUM(E369:H369)</f>
        <v>1380</v>
      </c>
      <c r="J369" s="26">
        <f>I369*1.039</f>
        <v>1433.82</v>
      </c>
      <c r="K369" s="26">
        <f>J369*1.039</f>
        <v>1489.7389799999999</v>
      </c>
      <c r="L369" s="515" t="s">
        <v>298</v>
      </c>
      <c r="M369" s="516"/>
      <c r="N369" s="39">
        <f>E369</f>
        <v>345</v>
      </c>
      <c r="O369" s="39">
        <f>F369</f>
        <v>345</v>
      </c>
      <c r="P369" s="39">
        <f>G369</f>
        <v>345</v>
      </c>
      <c r="Q369" s="39">
        <f>H369</f>
        <v>345</v>
      </c>
      <c r="R369" s="39">
        <f>SUM(N369:Q369)</f>
        <v>1380</v>
      </c>
      <c r="S369" s="28"/>
      <c r="T369" s="39"/>
      <c r="U369" s="39"/>
      <c r="V369" s="39"/>
      <c r="W369" s="39"/>
      <c r="X369" s="39"/>
    </row>
    <row r="370" spans="1:24" ht="18" hidden="1" customHeight="1" x14ac:dyDescent="0.25">
      <c r="A370" s="512"/>
      <c r="B370" s="5"/>
      <c r="C370" s="23" t="s">
        <v>518</v>
      </c>
      <c r="D370" s="5"/>
      <c r="E370" s="26"/>
      <c r="F370" s="26"/>
      <c r="G370" s="26"/>
      <c r="H370" s="26"/>
      <c r="I370" s="26"/>
      <c r="J370" s="26"/>
      <c r="K370" s="26"/>
      <c r="L370" s="26"/>
      <c r="M370" s="22"/>
      <c r="N370" s="39"/>
      <c r="O370" s="39"/>
      <c r="P370" s="39"/>
      <c r="Q370" s="39"/>
      <c r="R370" s="39"/>
      <c r="S370" s="28"/>
      <c r="T370" s="39"/>
      <c r="U370" s="39"/>
      <c r="V370" s="39"/>
      <c r="W370" s="39"/>
      <c r="X370" s="39"/>
    </row>
    <row r="371" spans="1:24" ht="12.75" x14ac:dyDescent="0.25">
      <c r="A371" s="513"/>
      <c r="B371" s="5" t="s">
        <v>519</v>
      </c>
      <c r="C371" s="8" t="s">
        <v>220</v>
      </c>
      <c r="D371" s="5" t="s">
        <v>243</v>
      </c>
      <c r="E371" s="26">
        <v>400</v>
      </c>
      <c r="F371" s="26">
        <v>400</v>
      </c>
      <c r="G371" s="26">
        <v>400</v>
      </c>
      <c r="H371" s="26">
        <v>400</v>
      </c>
      <c r="I371" s="26">
        <f>SUM(E371:H371)</f>
        <v>1600</v>
      </c>
      <c r="J371" s="26">
        <f>I371</f>
        <v>1600</v>
      </c>
      <c r="K371" s="26">
        <f>I371</f>
        <v>1600</v>
      </c>
      <c r="L371" s="515" t="s">
        <v>336</v>
      </c>
      <c r="M371" s="516"/>
      <c r="N371" s="39">
        <f>E371</f>
        <v>400</v>
      </c>
      <c r="O371" s="39">
        <f>F371</f>
        <v>400</v>
      </c>
      <c r="P371" s="39">
        <f>G371</f>
        <v>400</v>
      </c>
      <c r="Q371" s="39">
        <f>H371</f>
        <v>400</v>
      </c>
      <c r="R371" s="39">
        <f>SUM(N371:Q371)</f>
        <v>1600</v>
      </c>
      <c r="S371" s="28"/>
      <c r="T371" s="39"/>
      <c r="U371" s="39"/>
      <c r="V371" s="39"/>
      <c r="W371" s="39"/>
      <c r="X371" s="39"/>
    </row>
    <row r="372" spans="1:24" ht="12.75" x14ac:dyDescent="0.25">
      <c r="A372" s="505">
        <v>12</v>
      </c>
      <c r="B372" s="515" t="s">
        <v>520</v>
      </c>
      <c r="C372" s="516"/>
      <c r="D372" s="5" t="s">
        <v>243</v>
      </c>
      <c r="E372" s="26" t="e">
        <f>E6+E10+E56+E99+E105+E111+E119+E124+E130+E131+E135-0.02</f>
        <v>#REF!</v>
      </c>
      <c r="F372" s="26" t="e">
        <f>F6+F10+F56+F99+F105+F111+F119+F124+F130+F131+F135</f>
        <v>#REF!</v>
      </c>
      <c r="G372" s="26" t="e">
        <f>G6+G10+G56+G99+G105+G111+G119+G124+G130+G131+G135-0.01</f>
        <v>#REF!</v>
      </c>
      <c r="H372" s="26" t="e">
        <f>H6+H10+H56+H99+H105+H111+H119+H124+H130+H131+H135</f>
        <v>#REF!</v>
      </c>
      <c r="I372" s="26" t="e">
        <f>SUM(E372:H372)+0.01</f>
        <v>#REF!</v>
      </c>
      <c r="J372" s="26" t="e">
        <f>J6+J10+J56+J99+J105+J111+J119+J124+J130+J131+J135-0.02</f>
        <v>#REF!</v>
      </c>
      <c r="K372" s="26" t="e">
        <f>K6+K10+K56+K99+K105+K111+K119+K124+K130+K131+K135</f>
        <v>#REF!</v>
      </c>
      <c r="L372" s="26"/>
      <c r="M372" s="22"/>
      <c r="N372" s="39"/>
      <c r="O372" s="39"/>
      <c r="P372" s="39"/>
      <c r="Q372" s="39"/>
      <c r="R372" s="39"/>
      <c r="S372" s="28"/>
      <c r="T372" s="39"/>
      <c r="U372" s="39"/>
      <c r="V372" s="39"/>
      <c r="W372" s="39"/>
      <c r="X372" s="39"/>
    </row>
    <row r="373" spans="1:24" ht="12.75" x14ac:dyDescent="0.25">
      <c r="A373" s="512"/>
      <c r="B373" s="5" t="s">
        <v>521</v>
      </c>
      <c r="C373" s="8" t="s">
        <v>522</v>
      </c>
      <c r="D373" s="5" t="s">
        <v>243</v>
      </c>
      <c r="E373" s="26">
        <f t="shared" ref="E373:K373" si="49">E6+E15+E57+E63+E204</f>
        <v>261.40176600000001</v>
      </c>
      <c r="F373" s="26">
        <f t="shared" si="49"/>
        <v>1655.2614819999999</v>
      </c>
      <c r="G373" s="26">
        <f t="shared" si="49"/>
        <v>36083.549480640002</v>
      </c>
      <c r="H373" s="26">
        <f t="shared" si="49"/>
        <v>274.80815000000001</v>
      </c>
      <c r="I373" s="26">
        <f t="shared" si="49"/>
        <v>38275.020878639996</v>
      </c>
      <c r="J373" s="26">
        <f t="shared" si="49"/>
        <v>39871.548606304241</v>
      </c>
      <c r="K373" s="26">
        <f t="shared" si="49"/>
        <v>41526.268992180427</v>
      </c>
      <c r="L373" s="26"/>
      <c r="M373" s="22"/>
      <c r="N373" s="39"/>
      <c r="O373" s="39"/>
      <c r="P373" s="39"/>
      <c r="Q373" s="39"/>
      <c r="R373" s="39"/>
      <c r="S373" s="28"/>
      <c r="T373" s="39"/>
      <c r="U373" s="39"/>
      <c r="V373" s="39"/>
      <c r="W373" s="39"/>
      <c r="X373" s="39"/>
    </row>
    <row r="374" spans="1:24" ht="12.75" x14ac:dyDescent="0.25">
      <c r="A374" s="514"/>
      <c r="B374" s="5" t="s">
        <v>523</v>
      </c>
      <c r="C374" s="8" t="s">
        <v>524</v>
      </c>
      <c r="D374" s="5" t="s">
        <v>243</v>
      </c>
      <c r="E374" s="26" t="e">
        <f t="shared" ref="E374:K374" si="50">E372-E373</f>
        <v>#REF!</v>
      </c>
      <c r="F374" s="26" t="e">
        <f t="shared" si="50"/>
        <v>#REF!</v>
      </c>
      <c r="G374" s="26" t="e">
        <f t="shared" si="50"/>
        <v>#REF!</v>
      </c>
      <c r="H374" s="26" t="e">
        <f t="shared" si="50"/>
        <v>#REF!</v>
      </c>
      <c r="I374" s="26" t="e">
        <f t="shared" si="50"/>
        <v>#REF!</v>
      </c>
      <c r="J374" s="26" t="e">
        <f t="shared" si="50"/>
        <v>#REF!</v>
      </c>
      <c r="K374" s="26" t="e">
        <f t="shared" si="50"/>
        <v>#REF!</v>
      </c>
      <c r="L374" s="26"/>
      <c r="M374" s="22"/>
      <c r="N374" s="39"/>
      <c r="O374" s="39"/>
      <c r="P374" s="39"/>
      <c r="Q374" s="39"/>
      <c r="R374" s="39"/>
      <c r="S374" s="28"/>
      <c r="T374" s="39"/>
      <c r="U374" s="39"/>
      <c r="V374" s="39"/>
      <c r="W374" s="39"/>
      <c r="X374" s="39"/>
    </row>
    <row r="375" spans="1:24" ht="12.75" x14ac:dyDescent="0.25">
      <c r="A375" s="5"/>
      <c r="B375" s="515" t="s">
        <v>525</v>
      </c>
      <c r="C375" s="516"/>
      <c r="D375" s="5" t="s">
        <v>243</v>
      </c>
      <c r="E375" s="26"/>
      <c r="F375" s="26"/>
      <c r="G375" s="26"/>
      <c r="H375" s="26"/>
      <c r="I375" s="26"/>
      <c r="J375" s="26"/>
      <c r="K375" s="26"/>
      <c r="L375" s="26"/>
      <c r="M375" s="22"/>
      <c r="N375" s="39"/>
      <c r="O375" s="39"/>
      <c r="P375" s="39"/>
      <c r="Q375" s="39"/>
      <c r="R375" s="39"/>
      <c r="S375" s="28"/>
      <c r="T375" s="39"/>
      <c r="U375" s="39"/>
      <c r="V375" s="39"/>
      <c r="W375" s="39"/>
      <c r="X375" s="39"/>
    </row>
    <row r="376" spans="1:24" ht="12.75" x14ac:dyDescent="0.25">
      <c r="A376" s="505">
        <v>13</v>
      </c>
      <c r="B376" s="515" t="s">
        <v>526</v>
      </c>
      <c r="C376" s="516"/>
      <c r="D376" s="5" t="s">
        <v>243</v>
      </c>
      <c r="E376" s="26">
        <f>'Р 2'!E16</f>
        <v>5221.0511176188302</v>
      </c>
      <c r="F376" s="26">
        <f>'Р 2'!F16</f>
        <v>4866.8862011540095</v>
      </c>
      <c r="G376" s="26">
        <f>'Р 2'!G16</f>
        <v>137103.75204460273</v>
      </c>
      <c r="H376" s="26">
        <f>'Р 2'!H16</f>
        <v>5206.5476229447213</v>
      </c>
      <c r="I376" s="26">
        <f>'Р 2'!I16</f>
        <v>152398.23698632029</v>
      </c>
      <c r="J376" s="26">
        <f>'Р 2'!J16</f>
        <v>158348.07122506658</v>
      </c>
      <c r="K376" s="26">
        <f>'Р 2'!K16</f>
        <v>164530.27675493047</v>
      </c>
      <c r="L376" s="26"/>
      <c r="M376" s="22"/>
      <c r="N376" s="39"/>
      <c r="O376" s="39"/>
      <c r="P376" s="39"/>
      <c r="Q376" s="39"/>
      <c r="R376" s="39"/>
      <c r="S376" s="28"/>
      <c r="T376" s="39"/>
      <c r="U376" s="39"/>
      <c r="V376" s="39"/>
      <c r="W376" s="39"/>
      <c r="X376" s="39"/>
    </row>
    <row r="377" spans="1:24" ht="12.75" x14ac:dyDescent="0.25">
      <c r="A377" s="512"/>
      <c r="B377" s="5" t="s">
        <v>527</v>
      </c>
      <c r="C377" s="13" t="s">
        <v>13</v>
      </c>
      <c r="D377" s="5" t="s">
        <v>243</v>
      </c>
      <c r="E377" s="26">
        <v>0</v>
      </c>
      <c r="F377" s="26">
        <v>0</v>
      </c>
      <c r="G377" s="26">
        <f>'Р 2'!G17</f>
        <v>133168.21899152541</v>
      </c>
      <c r="H377" s="26">
        <f>'Р 2'!H17</f>
        <v>0</v>
      </c>
      <c r="I377" s="26">
        <f>'Р 2'!I17</f>
        <v>133168.21899152541</v>
      </c>
      <c r="J377" s="26">
        <f>'Р 2'!J17</f>
        <v>138361.77953219489</v>
      </c>
      <c r="K377" s="26">
        <f>'Р 2'!K17</f>
        <v>143757.88893395048</v>
      </c>
      <c r="L377" s="26"/>
      <c r="M377" s="22"/>
      <c r="N377" s="39"/>
      <c r="O377" s="39"/>
      <c r="P377" s="39"/>
      <c r="Q377" s="39"/>
      <c r="R377" s="39"/>
      <c r="S377" s="28"/>
      <c r="T377" s="39"/>
      <c r="U377" s="39"/>
      <c r="V377" s="39"/>
      <c r="W377" s="39"/>
      <c r="X377" s="39"/>
    </row>
    <row r="378" spans="1:24" ht="12.75" x14ac:dyDescent="0.25">
      <c r="A378" s="512"/>
      <c r="B378" s="5" t="s">
        <v>528</v>
      </c>
      <c r="C378" s="8" t="s">
        <v>256</v>
      </c>
      <c r="D378" s="5" t="s">
        <v>243</v>
      </c>
      <c r="E378" s="26">
        <f>'Р 2'!E21</f>
        <v>1715.3019905001852</v>
      </c>
      <c r="F378" s="26">
        <f>'Р 2'!F21</f>
        <v>1688.990506238755</v>
      </c>
      <c r="G378" s="26">
        <f>'Р 2'!G21</f>
        <v>1648.1861886705551</v>
      </c>
      <c r="H378" s="26">
        <f>'Р 2'!H21</f>
        <v>1695.2984704023479</v>
      </c>
      <c r="I378" s="26">
        <f>'Р 2'!I21</f>
        <v>6747.777155811842</v>
      </c>
      <c r="J378" s="26">
        <f>'Р 2'!J21</f>
        <v>7017.2434611682847</v>
      </c>
      <c r="K378" s="26">
        <f>'Р 2'!K21</f>
        <v>7297.5467082401874</v>
      </c>
      <c r="L378" s="26"/>
      <c r="M378" s="22"/>
      <c r="N378" s="39"/>
      <c r="O378" s="39"/>
      <c r="P378" s="39"/>
      <c r="Q378" s="39"/>
      <c r="R378" s="39"/>
      <c r="S378" s="28"/>
      <c r="T378" s="39"/>
      <c r="U378" s="39"/>
      <c r="V378" s="39"/>
      <c r="W378" s="39"/>
      <c r="X378" s="39"/>
    </row>
    <row r="379" spans="1:24" ht="12.75" x14ac:dyDescent="0.25">
      <c r="A379" s="514"/>
      <c r="B379" s="5" t="s">
        <v>529</v>
      </c>
      <c r="C379" s="8" t="s">
        <v>59</v>
      </c>
      <c r="D379" s="5" t="s">
        <v>243</v>
      </c>
      <c r="E379" s="26">
        <f>'Р 2'!E22</f>
        <v>3505.7491271186445</v>
      </c>
      <c r="F379" s="26">
        <f>'Р 2'!F22</f>
        <v>3177.8956949152544</v>
      </c>
      <c r="G379" s="26">
        <f>'Р 2'!G22</f>
        <v>2287.33686440678</v>
      </c>
      <c r="H379" s="26">
        <f>'Р 2'!H22</f>
        <v>3511.2491525423734</v>
      </c>
      <c r="I379" s="26">
        <f>'Р 2'!I22</f>
        <v>12482.240838983053</v>
      </c>
      <c r="J379" s="26">
        <f>'Р 2'!J22</f>
        <v>12969.048231703391</v>
      </c>
      <c r="K379" s="26">
        <f>'Р 2'!K22</f>
        <v>13474.841112739821</v>
      </c>
      <c r="L379" s="26"/>
      <c r="M379" s="22"/>
      <c r="N379" s="39"/>
      <c r="O379" s="39"/>
      <c r="P379" s="39"/>
      <c r="Q379" s="39"/>
      <c r="R379" s="39"/>
      <c r="S379" s="28"/>
      <c r="T379" s="39"/>
      <c r="U379" s="39"/>
      <c r="V379" s="39"/>
      <c r="W379" s="39"/>
      <c r="X379" s="39"/>
    </row>
    <row r="380" spans="1:24" ht="12.75" x14ac:dyDescent="0.25">
      <c r="A380" s="505">
        <v>14</v>
      </c>
      <c r="B380" s="515" t="s">
        <v>530</v>
      </c>
      <c r="C380" s="516"/>
      <c r="D380" s="5" t="s">
        <v>531</v>
      </c>
      <c r="E380" s="26" t="e">
        <f t="shared" ref="E380:K380" si="51">E372/E376</f>
        <v>#REF!</v>
      </c>
      <c r="F380" s="26" t="e">
        <f t="shared" si="51"/>
        <v>#REF!</v>
      </c>
      <c r="G380" s="26" t="e">
        <f t="shared" si="51"/>
        <v>#REF!</v>
      </c>
      <c r="H380" s="26" t="e">
        <f t="shared" si="51"/>
        <v>#REF!</v>
      </c>
      <c r="I380" s="26" t="e">
        <f t="shared" si="51"/>
        <v>#REF!</v>
      </c>
      <c r="J380" s="26" t="e">
        <f t="shared" si="51"/>
        <v>#REF!</v>
      </c>
      <c r="K380" s="26" t="e">
        <f t="shared" si="51"/>
        <v>#REF!</v>
      </c>
      <c r="L380" s="26"/>
      <c r="M380" s="22"/>
      <c r="N380" s="39"/>
      <c r="O380" s="39"/>
      <c r="P380" s="39"/>
      <c r="Q380" s="39"/>
      <c r="R380" s="39"/>
      <c r="S380" s="28"/>
      <c r="T380" s="39"/>
      <c r="U380" s="39"/>
      <c r="V380" s="39"/>
      <c r="W380" s="39"/>
      <c r="X380" s="39"/>
    </row>
    <row r="381" spans="1:24" ht="12.75" x14ac:dyDescent="0.25">
      <c r="A381" s="512"/>
      <c r="B381" s="5" t="s">
        <v>532</v>
      </c>
      <c r="C381" s="13" t="s">
        <v>13</v>
      </c>
      <c r="D381" s="5" t="s">
        <v>531</v>
      </c>
      <c r="E381" s="26">
        <v>0</v>
      </c>
      <c r="F381" s="26">
        <v>0</v>
      </c>
      <c r="G381" s="26" t="e">
        <f>'Р 2'!G26/'Р 3'!G377</f>
        <v>#REF!</v>
      </c>
      <c r="H381" s="26">
        <v>0</v>
      </c>
      <c r="I381" s="26" t="e">
        <f>'Р 2'!I26/'Р 3'!I377</f>
        <v>#REF!</v>
      </c>
      <c r="J381" s="26" t="e">
        <f>'Р 2'!J26/'Р 3'!J377</f>
        <v>#REF!</v>
      </c>
      <c r="K381" s="26" t="e">
        <f>'Р 2'!K26/'Р 3'!K377</f>
        <v>#REF!</v>
      </c>
      <c r="L381" s="26"/>
      <c r="M381" s="22"/>
      <c r="N381" s="39"/>
      <c r="O381" s="39"/>
      <c r="P381" s="39"/>
      <c r="Q381" s="39"/>
      <c r="R381" s="39"/>
      <c r="S381" s="28"/>
      <c r="T381" s="39"/>
      <c r="U381" s="39"/>
      <c r="V381" s="39"/>
      <c r="W381" s="39"/>
      <c r="X381" s="39"/>
    </row>
    <row r="382" spans="1:24" ht="12.75" x14ac:dyDescent="0.25">
      <c r="A382" s="512"/>
      <c r="B382" s="5" t="s">
        <v>533</v>
      </c>
      <c r="C382" s="8" t="s">
        <v>256</v>
      </c>
      <c r="D382" s="5" t="s">
        <v>531</v>
      </c>
      <c r="E382" s="26" t="e">
        <f>'Р 2'!E27/'Р 3'!E378</f>
        <v>#REF!</v>
      </c>
      <c r="F382" s="26" t="e">
        <f>'Р 2'!F27/'Р 3'!F378</f>
        <v>#REF!</v>
      </c>
      <c r="G382" s="26" t="e">
        <f>'Р 2'!G27/'Р 3'!G378</f>
        <v>#REF!</v>
      </c>
      <c r="H382" s="26" t="e">
        <f>'Р 2'!H27/'Р 3'!H378</f>
        <v>#REF!</v>
      </c>
      <c r="I382" s="26" t="e">
        <f>'Р 2'!I27/'Р 3'!I378</f>
        <v>#REF!</v>
      </c>
      <c r="J382" s="26" t="e">
        <f>'Р 2'!J27/'Р 3'!J378</f>
        <v>#REF!</v>
      </c>
      <c r="K382" s="26" t="e">
        <f>'Р 2'!K27/'Р 3'!K378</f>
        <v>#REF!</v>
      </c>
      <c r="L382" s="26"/>
      <c r="M382" s="22"/>
      <c r="N382" s="39"/>
      <c r="O382" s="39"/>
      <c r="P382" s="39"/>
      <c r="Q382" s="39"/>
      <c r="R382" s="39"/>
      <c r="S382" s="28"/>
      <c r="T382" s="39"/>
      <c r="U382" s="39"/>
      <c r="V382" s="39"/>
      <c r="W382" s="39"/>
      <c r="X382" s="39"/>
    </row>
    <row r="383" spans="1:24" ht="12.75" x14ac:dyDescent="0.25">
      <c r="A383" s="514"/>
      <c r="B383" s="5" t="s">
        <v>534</v>
      </c>
      <c r="C383" s="8" t="s">
        <v>59</v>
      </c>
      <c r="D383" s="5" t="s">
        <v>531</v>
      </c>
      <c r="E383" s="26" t="e">
        <f>'Р 2'!E28/'Р 3'!E379</f>
        <v>#REF!</v>
      </c>
      <c r="F383" s="26" t="e">
        <f>'Р 2'!F28/'Р 3'!F379</f>
        <v>#REF!</v>
      </c>
      <c r="G383" s="26" t="e">
        <f>'Р 2'!G28/'Р 3'!G379</f>
        <v>#REF!</v>
      </c>
      <c r="H383" s="26" t="e">
        <f>'Р 2'!H28/'Р 3'!H379</f>
        <v>#REF!</v>
      </c>
      <c r="I383" s="26" t="e">
        <f>'Р 2'!I28/'Р 3'!I379</f>
        <v>#REF!</v>
      </c>
      <c r="J383" s="26" t="e">
        <f>'Р 2'!J28/'Р 3'!J379</f>
        <v>#REF!</v>
      </c>
      <c r="K383" s="26" t="e">
        <f>'Р 2'!K28/'Р 3'!K379</f>
        <v>#REF!</v>
      </c>
      <c r="L383" s="26"/>
      <c r="M383" s="22"/>
      <c r="N383" s="39"/>
      <c r="O383" s="39"/>
      <c r="P383" s="39"/>
      <c r="Q383" s="39"/>
      <c r="R383" s="39"/>
      <c r="S383" s="28"/>
      <c r="T383" s="39"/>
      <c r="U383" s="39"/>
      <c r="V383" s="39"/>
      <c r="W383" s="39"/>
      <c r="X383" s="39"/>
    </row>
    <row r="384" spans="1:24" ht="12.75" x14ac:dyDescent="0.25">
      <c r="T384" s="10">
        <f>SUM(T6:T383)</f>
        <v>582.30449920800004</v>
      </c>
      <c r="U384" s="10">
        <f>SUM(U6:U383)</f>
        <v>2307.153057639332</v>
      </c>
      <c r="V384" s="10">
        <f>SUM(V6:V383)</f>
        <v>7604.1362910842572</v>
      </c>
      <c r="W384" s="10">
        <f>SUM(W6:W383)</f>
        <v>279.96292643266401</v>
      </c>
      <c r="X384" s="10">
        <f>SUM(X6:X383)</f>
        <v>13813.556774364246</v>
      </c>
    </row>
    <row r="385" spans="12:20" ht="12.75" x14ac:dyDescent="0.25">
      <c r="L385" s="515" t="s">
        <v>298</v>
      </c>
      <c r="M385" s="516"/>
      <c r="N385" s="39" t="e">
        <f>N14+N30+N38+N62+N86+N98+N104+N110+N118+N127+N132+N193+N223+N228+N237+N259+N265+N282+N294+N306+N324+N328+N345+N352+N364+N369</f>
        <v>#REF!</v>
      </c>
      <c r="O385" s="39" t="e">
        <f>O14+O30+O38+O62+O86+O98+O104+O110+O118+O127+O132+O193+O223+O228+O237+O259+O265+O282+O294+O306+O324+O328+O345+O352+O364+O369</f>
        <v>#REF!</v>
      </c>
      <c r="P385" s="39" t="e">
        <f>P14+P30+P38+P62+P86+P98+P104+P110+P118+P127+P132+P193+P223+P228+P237+P259+P265+P282+P294+P306+P324+P328+P345+P352+P364+P369</f>
        <v>#REF!</v>
      </c>
      <c r="Q385" s="39" t="e">
        <f>Q14+Q30+Q38+Q62+Q86+Q98+Q104+Q110+Q118+Q127+Q132+Q193+Q223+Q228+Q237+Q259+Q265+Q282+Q294+Q306+Q324+Q328+Q345+Q352+Q364+Q369</f>
        <v>#REF!</v>
      </c>
      <c r="R385" s="39" t="e">
        <f>SUM(N385:Q385)</f>
        <v>#REF!</v>
      </c>
      <c r="S385" s="4"/>
      <c r="T385" s="39"/>
    </row>
    <row r="386" spans="12:20" ht="12.75" x14ac:dyDescent="0.25">
      <c r="L386" s="515" t="s">
        <v>13</v>
      </c>
      <c r="M386" s="516"/>
      <c r="N386" s="39">
        <f>N7+N8+N12+N15+N17+N23+N34+N40+N49+N54+N58+N64+N75+N88+N100+N106+N112+N121+N137+N197+N206+N210+N213+N218+N230+N235+N248+N272+N284+N296+N308+N362+N366</f>
        <v>1389.4795034954</v>
      </c>
      <c r="O386" s="39">
        <f>O7+O8+O12+O15+O17+O23+O34+O40+O49+O54+O58+O64+O75+O88+O100+O106+O112+O121+O137+O197+O206+O210+O213+O218+O230+O235+O248+O272+O284+O296+O308+O362+O366</f>
        <v>14807.283468045009</v>
      </c>
      <c r="P386" s="39">
        <f>P7+P8+P12+P15+P17+P23+P34+P40+P49+P54+P58+P64+P75+P88+P100+P106+P112+P121+P137+P197+P206+P210+P213+P218+P230+P235+P248+P272+P284+P296+P308+P362+P366</f>
        <v>52315.327793947668</v>
      </c>
      <c r="Q386" s="39">
        <f>Q7+Q8+Q12+Q15+Q17+Q23+Q34+Q40+Q49+Q54+Q58+Q64+Q75+Q88+Q100+Q106+Q112+Q121+Q137+Q197+Q206+Q210+Q213+Q218+Q230+Q235+Q248+Q272+Q284+Q296+Q308+Q362+Q366</f>
        <v>607.57622990499999</v>
      </c>
      <c r="R386" s="39">
        <f>SUM(N386:Q386)</f>
        <v>69119.666995393069</v>
      </c>
      <c r="S386" s="4"/>
      <c r="T386" s="39"/>
    </row>
    <row r="387" spans="12:20" ht="12.75" x14ac:dyDescent="0.25">
      <c r="L387" s="515" t="s">
        <v>336</v>
      </c>
      <c r="M387" s="516"/>
      <c r="N387" s="39" t="e">
        <f>E372-N390</f>
        <v>#REF!</v>
      </c>
      <c r="O387" s="39" t="e">
        <f>F372-O390</f>
        <v>#REF!</v>
      </c>
      <c r="P387" s="39" t="e">
        <f>G372-P390</f>
        <v>#REF!</v>
      </c>
      <c r="Q387" s="39" t="e">
        <f>H372-Q390</f>
        <v>#REF!</v>
      </c>
      <c r="R387" s="39" t="e">
        <f>SUM(N387:Q387)</f>
        <v>#REF!</v>
      </c>
      <c r="S387" s="4"/>
      <c r="T387" s="39"/>
    </row>
    <row r="388" spans="12:20" ht="12.75" x14ac:dyDescent="0.25">
      <c r="L388" s="515" t="s">
        <v>256</v>
      </c>
      <c r="M388" s="516"/>
      <c r="N388" s="39">
        <f>N76+N89+N101+N107+N113+N183+N250+N273+N285+N297+N309+N327</f>
        <v>159.40337846628503</v>
      </c>
      <c r="O388" s="39">
        <f>O76+O89+O101+O107+O113+O183+O250+O273+O285+O297+O309+O327</f>
        <v>133.09189420485504</v>
      </c>
      <c r="P388" s="39">
        <f>P76+P89+P101+P107+P113+P183+P250+P273+P285+P297+P309+P327</f>
        <v>92.287576636655004</v>
      </c>
      <c r="Q388" s="39">
        <f>Q76+Q89+Q101+Q107+Q113+Q183+Q250+Q273+Q285+Q297+Q309+Q327</f>
        <v>139.39985836844781</v>
      </c>
      <c r="R388" s="39">
        <f>SUM(N388:Q388)</f>
        <v>524.1827076762429</v>
      </c>
      <c r="S388" s="4"/>
      <c r="T388" s="39"/>
    </row>
    <row r="389" spans="12:20" ht="12.75" x14ac:dyDescent="0.25">
      <c r="L389" s="515" t="s">
        <v>59</v>
      </c>
      <c r="M389" s="516"/>
      <c r="N389" s="39">
        <f>N19+N27+N35+N51+N80+N93+N102+N108+N114+N128+N184+N243+N251+N277+N289+N301+N313+N331+N347</f>
        <v>5447.1988070815005</v>
      </c>
      <c r="O389" s="39">
        <f>O19+O27+O35+O51+O80+O93+O102+O108+O114+O128+O184+O243+O251+O277+O289+O301+O313+O331+O347</f>
        <v>5215.6523262114997</v>
      </c>
      <c r="P389" s="39">
        <f>P19+P27+P35+P51+P80+P93+P102+P108+P114+P128+P184+P243+P251+P277+P289+P301+P313+P331+P347</f>
        <v>4207.5370876862198</v>
      </c>
      <c r="Q389" s="39">
        <f>Q19+Q27+Q35+Q51+Q80+Q93+Q102+Q108+Q114+Q128+Q184+Q243+Q251+Q277+Q289+Q301+Q313+Q331+Q347</f>
        <v>4284.2229923291807</v>
      </c>
      <c r="R389" s="39">
        <f>SUM(N389:Q389)</f>
        <v>19154.611213308399</v>
      </c>
      <c r="S389" s="4"/>
      <c r="T389" s="39"/>
    </row>
    <row r="390" spans="12:20" ht="12.75" x14ac:dyDescent="0.25">
      <c r="L390" s="22"/>
      <c r="M390" s="22" t="s">
        <v>535</v>
      </c>
      <c r="N390" s="39" t="e">
        <f>N385+N386+N388+N389</f>
        <v>#REF!</v>
      </c>
      <c r="O390" s="39" t="e">
        <f>O385+O386+O388+O389</f>
        <v>#REF!</v>
      </c>
      <c r="P390" s="39" t="e">
        <f>P385+P386+P388+P389</f>
        <v>#REF!</v>
      </c>
      <c r="Q390" s="39" t="e">
        <f>Q385+Q386+Q388+Q389</f>
        <v>#REF!</v>
      </c>
      <c r="R390" s="39" t="e">
        <f>R385+R386+R388+R389</f>
        <v>#REF!</v>
      </c>
      <c r="S390" s="4"/>
      <c r="T390" s="39"/>
    </row>
    <row r="391" spans="12:20" ht="12.75" x14ac:dyDescent="0.25">
      <c r="L391" s="22"/>
      <c r="M391" s="22" t="s">
        <v>536</v>
      </c>
      <c r="N391" s="39" t="e">
        <f>SUM(N385:N389)</f>
        <v>#REF!</v>
      </c>
      <c r="O391" s="39" t="e">
        <f>SUM(O385:O389)</f>
        <v>#REF!</v>
      </c>
      <c r="P391" s="39" t="e">
        <f>SUM(P385:P389)</f>
        <v>#REF!</v>
      </c>
      <c r="Q391" s="39" t="e">
        <f>SUM(Q385:Q389)</f>
        <v>#REF!</v>
      </c>
      <c r="R391" s="39" t="e">
        <f>SUM(R385:R389)</f>
        <v>#REF!</v>
      </c>
      <c r="S391" s="4"/>
      <c r="T391" s="39"/>
    </row>
  </sheetData>
  <mergeCells count="150">
    <mergeCell ref="L184:M184"/>
    <mergeCell ref="L183:M183"/>
    <mergeCell ref="L206:M206"/>
    <mergeCell ref="L218:M218"/>
    <mergeCell ref="L223:M223"/>
    <mergeCell ref="L225:M225"/>
    <mergeCell ref="L228:M228"/>
    <mergeCell ref="L230:M230"/>
    <mergeCell ref="L232:M232"/>
    <mergeCell ref="L213:M213"/>
    <mergeCell ref="L101:M101"/>
    <mergeCell ref="L102:M102"/>
    <mergeCell ref="L103:M103"/>
    <mergeCell ref="L104:M104"/>
    <mergeCell ref="L106:M106"/>
    <mergeCell ref="L107:M107"/>
    <mergeCell ref="L108:M108"/>
    <mergeCell ref="L109:M109"/>
    <mergeCell ref="L110:M110"/>
    <mergeCell ref="B105:C105"/>
    <mergeCell ref="A56:A87"/>
    <mergeCell ref="B99:C99"/>
    <mergeCell ref="B131:C131"/>
    <mergeCell ref="B135:C135"/>
    <mergeCell ref="A131:A134"/>
    <mergeCell ref="A135:A371"/>
    <mergeCell ref="L280:M280"/>
    <mergeCell ref="L277:M277"/>
    <mergeCell ref="L273:M273"/>
    <mergeCell ref="L272:M272"/>
    <mergeCell ref="L265:M265"/>
    <mergeCell ref="L259:M259"/>
    <mergeCell ref="L256:M256"/>
    <mergeCell ref="L251:M251"/>
    <mergeCell ref="L250:M250"/>
    <mergeCell ref="L248:M248"/>
    <mergeCell ref="L243:M243"/>
    <mergeCell ref="L237:M237"/>
    <mergeCell ref="L235:M235"/>
    <mergeCell ref="L93:M93"/>
    <mergeCell ref="L100:M100"/>
    <mergeCell ref="L98:M98"/>
    <mergeCell ref="L96:M96"/>
    <mergeCell ref="L285:M285"/>
    <mergeCell ref="L284:M284"/>
    <mergeCell ref="L282:M282"/>
    <mergeCell ref="A124:A129"/>
    <mergeCell ref="B130:C130"/>
    <mergeCell ref="A119:A123"/>
    <mergeCell ref="B124:C124"/>
    <mergeCell ref="B119:C119"/>
    <mergeCell ref="B111:C111"/>
    <mergeCell ref="L112:M112"/>
    <mergeCell ref="L113:M113"/>
    <mergeCell ref="L114:M114"/>
    <mergeCell ref="L117:M117"/>
    <mergeCell ref="L127:M127"/>
    <mergeCell ref="L126:M126"/>
    <mergeCell ref="L118:M118"/>
    <mergeCell ref="L121:M121"/>
    <mergeCell ref="L128:M128"/>
    <mergeCell ref="L132:M132"/>
    <mergeCell ref="L137:M137"/>
    <mergeCell ref="L189:M189"/>
    <mergeCell ref="L193:M193"/>
    <mergeCell ref="L197:M197"/>
    <mergeCell ref="L200:M200"/>
    <mergeCell ref="L308:M308"/>
    <mergeCell ref="L306:M306"/>
    <mergeCell ref="L304:M304"/>
    <mergeCell ref="L301:M301"/>
    <mergeCell ref="L297:M297"/>
    <mergeCell ref="L296:M296"/>
    <mergeCell ref="L294:M294"/>
    <mergeCell ref="L292:M292"/>
    <mergeCell ref="L289:M289"/>
    <mergeCell ref="L342:M342"/>
    <mergeCell ref="L339:M339"/>
    <mergeCell ref="L331:M331"/>
    <mergeCell ref="L328:M328"/>
    <mergeCell ref="L327:M327"/>
    <mergeCell ref="L324:M324"/>
    <mergeCell ref="L313:M313"/>
    <mergeCell ref="L318:M318"/>
    <mergeCell ref="L309:M309"/>
    <mergeCell ref="L371:M371"/>
    <mergeCell ref="L369:M369"/>
    <mergeCell ref="L366:M366"/>
    <mergeCell ref="L364:M364"/>
    <mergeCell ref="L362:M362"/>
    <mergeCell ref="L354:M354"/>
    <mergeCell ref="L352:M352"/>
    <mergeCell ref="L347:M347"/>
    <mergeCell ref="L345:M345"/>
    <mergeCell ref="A380:A383"/>
    <mergeCell ref="A376:A379"/>
    <mergeCell ref="B380:C380"/>
    <mergeCell ref="B376:C376"/>
    <mergeCell ref="B375:C375"/>
    <mergeCell ref="A372:A374"/>
    <mergeCell ref="B372:C372"/>
    <mergeCell ref="L389:M389"/>
    <mergeCell ref="L388:M388"/>
    <mergeCell ref="L387:M387"/>
    <mergeCell ref="L386:M386"/>
    <mergeCell ref="L385:M385"/>
    <mergeCell ref="L75:M75"/>
    <mergeCell ref="L76:M76"/>
    <mergeCell ref="L80:M80"/>
    <mergeCell ref="L83:M83"/>
    <mergeCell ref="L86:M86"/>
    <mergeCell ref="L88:M88"/>
    <mergeCell ref="L89:M89"/>
    <mergeCell ref="L64:M64"/>
    <mergeCell ref="L58:M58"/>
    <mergeCell ref="L61:M61"/>
    <mergeCell ref="L62:M62"/>
    <mergeCell ref="L14:M14"/>
    <mergeCell ref="L17:M17"/>
    <mergeCell ref="L18:M18"/>
    <mergeCell ref="L19:M19"/>
    <mergeCell ref="L23:M23"/>
    <mergeCell ref="L27:M27"/>
    <mergeCell ref="L30:M30"/>
    <mergeCell ref="B56:C56"/>
    <mergeCell ref="L71:M71"/>
    <mergeCell ref="A1:L1"/>
    <mergeCell ref="A3:A4"/>
    <mergeCell ref="T3:X3"/>
    <mergeCell ref="B3:C4"/>
    <mergeCell ref="B5:C5"/>
    <mergeCell ref="B6:C6"/>
    <mergeCell ref="A6:A9"/>
    <mergeCell ref="D3:D4"/>
    <mergeCell ref="B10:C10"/>
    <mergeCell ref="E3:I3"/>
    <mergeCell ref="N3:R3"/>
    <mergeCell ref="J3:K3"/>
    <mergeCell ref="A10:A55"/>
    <mergeCell ref="L31:M31"/>
    <mergeCell ref="L34:M34"/>
    <mergeCell ref="L35:M35"/>
    <mergeCell ref="L38:M38"/>
    <mergeCell ref="L40:M40"/>
    <mergeCell ref="L45:M45"/>
    <mergeCell ref="L49:M49"/>
    <mergeCell ref="L50:M50"/>
    <mergeCell ref="L51:M51"/>
    <mergeCell ref="L12:M12"/>
    <mergeCell ref="L13:M13"/>
  </mergeCells>
  <pageMargins left="0.39370077848434398" right="0.39370077848434398" top="0.78740155696868896" bottom="0.39370077848434398" header="0.31496062874794001" footer="0.31496062874794001"/>
  <pageSetup scale="50" orientation="portrait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/>
  </sheetViews>
  <sheetFormatPr defaultColWidth="9.140625" defaultRowHeight="12.75" x14ac:dyDescent="0.25"/>
  <cols>
    <col min="1" max="1" width="58.140625" style="2" customWidth="1"/>
    <col min="2" max="5" width="12.7109375" style="2" customWidth="1"/>
    <col min="6" max="6" width="9.140625" style="2" bestFit="1" customWidth="1"/>
    <col min="7" max="16384" width="9.140625" style="2"/>
  </cols>
  <sheetData>
    <row r="1" spans="1:5" x14ac:dyDescent="0.25">
      <c r="A1" s="495" t="s">
        <v>537</v>
      </c>
      <c r="B1" s="495"/>
      <c r="C1" s="495"/>
      <c r="D1" s="495"/>
      <c r="E1" s="495"/>
    </row>
    <row r="2" spans="1:5" x14ac:dyDescent="0.25">
      <c r="A2" s="495" t="s">
        <v>538</v>
      </c>
      <c r="B2" s="495"/>
      <c r="C2" s="495"/>
      <c r="D2" s="495"/>
      <c r="E2" s="495"/>
    </row>
    <row r="4" spans="1:5" x14ac:dyDescent="0.25">
      <c r="A4" s="504" t="s">
        <v>7</v>
      </c>
      <c r="B4" s="504"/>
      <c r="C4" s="504"/>
      <c r="D4" s="504"/>
      <c r="E4" s="504"/>
    </row>
    <row r="5" spans="1:5" x14ac:dyDescent="0.25">
      <c r="A5" s="1"/>
      <c r="B5" s="1"/>
      <c r="C5" s="1"/>
      <c r="D5" s="1"/>
      <c r="E5" s="1"/>
    </row>
    <row r="6" spans="1:5" x14ac:dyDescent="0.25">
      <c r="A6" s="504" t="s">
        <v>539</v>
      </c>
      <c r="B6" s="504"/>
      <c r="C6" s="504"/>
      <c r="D6" s="504"/>
      <c r="E6" s="504"/>
    </row>
    <row r="7" spans="1:5" x14ac:dyDescent="0.25">
      <c r="A7" s="1"/>
      <c r="B7" s="1"/>
      <c r="C7" s="1"/>
      <c r="D7" s="1"/>
      <c r="E7" s="1"/>
    </row>
    <row r="10" spans="1:5" ht="19.350000000000001" customHeight="1" x14ac:dyDescent="0.25">
      <c r="A10" s="526" t="s">
        <v>540</v>
      </c>
      <c r="B10" s="526" t="s">
        <v>226</v>
      </c>
      <c r="C10" s="526" t="s">
        <v>38</v>
      </c>
      <c r="D10" s="526" t="s">
        <v>39</v>
      </c>
      <c r="E10" s="527"/>
    </row>
    <row r="11" spans="1:5" ht="21" customHeight="1" x14ac:dyDescent="0.25">
      <c r="A11" s="528"/>
      <c r="B11" s="528"/>
      <c r="C11" s="528"/>
      <c r="D11" s="83" t="s">
        <v>45</v>
      </c>
      <c r="E11" s="83" t="s">
        <v>46</v>
      </c>
    </row>
    <row r="12" spans="1:5" ht="20.25" customHeight="1" x14ac:dyDescent="0.25">
      <c r="A12" s="8" t="s">
        <v>541</v>
      </c>
      <c r="B12" s="5" t="s">
        <v>542</v>
      </c>
      <c r="C12" s="17">
        <f>'Р 2'!I16</f>
        <v>152398.23698632029</v>
      </c>
      <c r="D12" s="17">
        <f>'Р 2'!J16</f>
        <v>158348.07122506658</v>
      </c>
      <c r="E12" s="17">
        <f>'Р 2'!K16</f>
        <v>164530.27675493047</v>
      </c>
    </row>
    <row r="13" spans="1:5" ht="20.25" customHeight="1" x14ac:dyDescent="0.25">
      <c r="A13" s="8" t="s">
        <v>269</v>
      </c>
      <c r="B13" s="5" t="s">
        <v>542</v>
      </c>
      <c r="C13" s="17" t="e">
        <f>'Р 2'!I41</f>
        <v>#REF!</v>
      </c>
      <c r="D13" s="17" t="e">
        <f>'Р 2'!J41</f>
        <v>#REF!</v>
      </c>
      <c r="E13" s="17" t="e">
        <f>'Р 2'!K41</f>
        <v>#REF!</v>
      </c>
    </row>
    <row r="14" spans="1:5" ht="20.25" customHeight="1" x14ac:dyDescent="0.25">
      <c r="A14" s="8" t="s">
        <v>543</v>
      </c>
      <c r="B14" s="5" t="s">
        <v>544</v>
      </c>
      <c r="C14" s="17" t="e">
        <f>'Р 2'!I31/C12*100</f>
        <v>#REF!</v>
      </c>
      <c r="D14" s="17" t="e">
        <f>'Р 2'!J31/D12*100</f>
        <v>#REF!</v>
      </c>
      <c r="E14" s="17" t="e">
        <f>'Р 2'!K31/E12*100</f>
        <v>#REF!</v>
      </c>
    </row>
    <row r="15" spans="1:5" ht="24.75" customHeight="1" x14ac:dyDescent="0.25">
      <c r="A15" s="4" t="s">
        <v>545</v>
      </c>
      <c r="B15" s="5" t="s">
        <v>542</v>
      </c>
      <c r="C15" s="17" t="e">
        <f>'Р 2'!I42</f>
        <v>#REF!</v>
      </c>
      <c r="D15" s="17" t="e">
        <f>'Р 2'!J42</f>
        <v>#REF!</v>
      </c>
      <c r="E15" s="17" t="e">
        <f>'Р 2'!K42</f>
        <v>#REF!</v>
      </c>
    </row>
  </sheetData>
  <mergeCells count="8">
    <mergeCell ref="A1:E1"/>
    <mergeCell ref="A2:E2"/>
    <mergeCell ref="A4:E4"/>
    <mergeCell ref="A6:E6"/>
    <mergeCell ref="D10:E10"/>
    <mergeCell ref="A10:A11"/>
    <mergeCell ref="B10:B11"/>
    <mergeCell ref="C10:C11"/>
  </mergeCells>
  <pageMargins left="0.39370077848434398" right="0.39370077848434398" top="0.78740155696868896" bottom="0.39370077848434398" header="0.31496062874794001" footer="0.31496062874794001"/>
  <pageSetup scale="75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ageMargins left="0.70000004768371604" right="0.70000004768371604" top="0.75" bottom="0.75" header="0.30000001192092901" footer="0.30000001192092901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workbookViewId="0">
      <selection activeCell="C3" sqref="C3"/>
    </sheetView>
  </sheetViews>
  <sheetFormatPr defaultColWidth="8.85546875" defaultRowHeight="12.75" x14ac:dyDescent="0.25"/>
  <cols>
    <col min="1" max="1" width="3.140625" style="84" customWidth="1"/>
    <col min="2" max="2" width="45.5703125" style="85" customWidth="1"/>
    <col min="3" max="3" width="55.7109375" style="85" customWidth="1"/>
    <col min="4" max="4" width="8.85546875" style="85" bestFit="1" customWidth="1"/>
    <col min="5" max="5" width="14.85546875" style="85" customWidth="1"/>
    <col min="6" max="6" width="8.85546875" style="85" bestFit="1" customWidth="1"/>
    <col min="7" max="16384" width="8.85546875" style="85"/>
  </cols>
  <sheetData>
    <row r="1" spans="1:5" ht="12.6" customHeight="1" x14ac:dyDescent="0.25">
      <c r="A1" s="85"/>
      <c r="C1" s="493" t="s">
        <v>1363</v>
      </c>
    </row>
    <row r="2" spans="1:5" ht="12.6" customHeight="1" x14ac:dyDescent="0.25">
      <c r="A2" s="85"/>
      <c r="C2" s="493" t="s">
        <v>1364</v>
      </c>
    </row>
    <row r="3" spans="1:5" ht="12.6" customHeight="1" x14ac:dyDescent="0.25">
      <c r="A3" s="491"/>
      <c r="B3" s="491"/>
      <c r="C3" s="492" t="s">
        <v>1367</v>
      </c>
    </row>
    <row r="4" spans="1:5" ht="12.6" customHeight="1" x14ac:dyDescent="0.25">
      <c r="A4" s="491"/>
      <c r="B4" s="491"/>
      <c r="C4" s="491"/>
    </row>
    <row r="5" spans="1:5" ht="12.6" customHeight="1" x14ac:dyDescent="0.25">
      <c r="A5" s="529" t="s">
        <v>1362</v>
      </c>
      <c r="B5" s="529"/>
      <c r="C5" s="529"/>
    </row>
    <row r="6" spans="1:5" ht="12.6" customHeight="1" x14ac:dyDescent="0.25">
      <c r="A6" s="529" t="s">
        <v>1</v>
      </c>
      <c r="B6" s="529"/>
      <c r="C6" s="529"/>
    </row>
    <row r="7" spans="1:5" ht="12.6" customHeight="1" x14ac:dyDescent="0.25">
      <c r="A7" s="529" t="s">
        <v>2</v>
      </c>
      <c r="B7" s="529"/>
      <c r="C7" s="529"/>
    </row>
    <row r="8" spans="1:5" ht="12.6" customHeight="1" x14ac:dyDescent="0.25">
      <c r="A8" s="529" t="s">
        <v>3</v>
      </c>
      <c r="B8" s="529"/>
      <c r="C8" s="529"/>
    </row>
    <row r="9" spans="1:5" ht="12.6" customHeight="1" x14ac:dyDescent="0.25">
      <c r="A9" s="529" t="s">
        <v>546</v>
      </c>
      <c r="B9" s="529"/>
      <c r="C9" s="529"/>
    </row>
    <row r="10" spans="1:5" ht="14.25" customHeight="1" x14ac:dyDescent="0.25">
      <c r="A10" s="532"/>
      <c r="B10" s="532"/>
      <c r="C10" s="532"/>
    </row>
    <row r="11" spans="1:5" ht="28.5" customHeight="1" x14ac:dyDescent="0.25">
      <c r="A11" s="533" t="s">
        <v>547</v>
      </c>
      <c r="B11" s="534"/>
      <c r="C11" s="535"/>
    </row>
    <row r="12" spans="1:5" ht="30.75" customHeight="1" x14ac:dyDescent="0.25">
      <c r="A12" s="87">
        <v>1</v>
      </c>
      <c r="B12" s="86" t="s">
        <v>6</v>
      </c>
      <c r="C12" s="88" t="s">
        <v>7</v>
      </c>
    </row>
    <row r="13" spans="1:5" ht="33" customHeight="1" x14ac:dyDescent="0.25">
      <c r="A13" s="89">
        <f>A12+1</f>
        <v>2</v>
      </c>
      <c r="B13" s="90" t="s">
        <v>8</v>
      </c>
      <c r="C13" s="88" t="s">
        <v>548</v>
      </c>
    </row>
    <row r="14" spans="1:5" ht="27" customHeight="1" x14ac:dyDescent="0.25">
      <c r="A14" s="89">
        <f>A13+1</f>
        <v>3</v>
      </c>
      <c r="B14" s="90" t="s">
        <v>10</v>
      </c>
      <c r="C14" s="88" t="s">
        <v>549</v>
      </c>
    </row>
    <row r="15" spans="1:5" ht="23.25" customHeight="1" x14ac:dyDescent="0.25">
      <c r="A15" s="89">
        <v>4</v>
      </c>
      <c r="B15" s="90" t="s">
        <v>12</v>
      </c>
      <c r="C15" s="88" t="s">
        <v>13</v>
      </c>
      <c r="E15" s="91"/>
    </row>
    <row r="16" spans="1:5" ht="41.25" customHeight="1" x14ac:dyDescent="0.25">
      <c r="A16" s="89">
        <f>A15+1</f>
        <v>5</v>
      </c>
      <c r="B16" s="86" t="s">
        <v>14</v>
      </c>
      <c r="C16" s="472" t="s">
        <v>1361</v>
      </c>
    </row>
    <row r="17" spans="1:3" ht="15.75" customHeight="1" x14ac:dyDescent="0.25">
      <c r="A17" s="89">
        <f>A16+1</f>
        <v>6</v>
      </c>
      <c r="B17" s="90" t="s">
        <v>16</v>
      </c>
      <c r="C17" s="92" t="s">
        <v>17</v>
      </c>
    </row>
    <row r="18" spans="1:3" ht="15.75" customHeight="1" x14ac:dyDescent="0.25">
      <c r="A18" s="89">
        <f>A17+1</f>
        <v>7</v>
      </c>
      <c r="B18" s="90" t="s">
        <v>18</v>
      </c>
      <c r="C18" s="87" t="s">
        <v>550</v>
      </c>
    </row>
    <row r="19" spans="1:3" ht="15.75" customHeight="1" x14ac:dyDescent="0.25">
      <c r="A19" s="536" t="s">
        <v>20</v>
      </c>
      <c r="B19" s="537"/>
      <c r="C19" s="538"/>
    </row>
    <row r="20" spans="1:3" ht="19.5" customHeight="1" x14ac:dyDescent="0.25">
      <c r="A20" s="89">
        <v>8</v>
      </c>
      <c r="B20" s="90" t="s">
        <v>21</v>
      </c>
      <c r="C20" s="87" t="s">
        <v>551</v>
      </c>
    </row>
    <row r="21" spans="1:3" ht="30.75" customHeight="1" x14ac:dyDescent="0.25">
      <c r="A21" s="89">
        <f>A20+1</f>
        <v>9</v>
      </c>
      <c r="B21" s="93" t="s">
        <v>23</v>
      </c>
      <c r="C21" s="90"/>
    </row>
    <row r="22" spans="1:3" ht="15.75" customHeight="1" x14ac:dyDescent="0.25">
      <c r="A22" s="530"/>
      <c r="B22" s="90" t="s">
        <v>24</v>
      </c>
      <c r="C22" s="87" t="s">
        <v>552</v>
      </c>
    </row>
    <row r="23" spans="1:3" ht="18" customHeight="1" x14ac:dyDescent="0.25">
      <c r="A23" s="531"/>
      <c r="B23" s="90" t="s">
        <v>26</v>
      </c>
      <c r="C23" s="87" t="s">
        <v>553</v>
      </c>
    </row>
    <row r="24" spans="1:3" ht="32.25" customHeight="1" x14ac:dyDescent="0.25">
      <c r="A24" s="89">
        <v>10</v>
      </c>
      <c r="B24" s="93" t="s">
        <v>28</v>
      </c>
      <c r="C24" s="87"/>
    </row>
    <row r="25" spans="1:3" ht="15.75" customHeight="1" x14ac:dyDescent="0.25">
      <c r="A25" s="530"/>
      <c r="B25" s="90" t="s">
        <v>554</v>
      </c>
      <c r="C25" s="87" t="s">
        <v>555</v>
      </c>
    </row>
    <row r="26" spans="1:3" x14ac:dyDescent="0.25">
      <c r="A26" s="531"/>
      <c r="B26" s="90" t="s">
        <v>556</v>
      </c>
      <c r="C26" s="94" t="s">
        <v>557</v>
      </c>
    </row>
  </sheetData>
  <mergeCells count="10">
    <mergeCell ref="A6:C6"/>
    <mergeCell ref="A7:C7"/>
    <mergeCell ref="A8:C8"/>
    <mergeCell ref="A5:C5"/>
    <mergeCell ref="A25:A26"/>
    <mergeCell ref="A9:C9"/>
    <mergeCell ref="A10:C10"/>
    <mergeCell ref="A11:C11"/>
    <mergeCell ref="A19:C19"/>
    <mergeCell ref="A22:A23"/>
  </mergeCells>
  <pageMargins left="0.70000004768371604" right="0.70000004768371604" top="0.75" bottom="0.75" header="0.30000001192092901" footer="0.30000001192092901"/>
  <pageSetup paperSize="9" scale="8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TI62"/>
  <sheetViews>
    <sheetView zoomScale="70" zoomScaleNormal="70" workbookViewId="0">
      <pane xSplit="4" ySplit="6" topLeftCell="E7" activePane="bottomRight" state="frozen"/>
      <selection pane="topRight"/>
      <selection pane="bottomLeft"/>
      <selection pane="bottomRight" activeCell="I39" sqref="I39"/>
    </sheetView>
  </sheetViews>
  <sheetFormatPr defaultColWidth="9.140625" defaultRowHeight="15" x14ac:dyDescent="0.25"/>
  <cols>
    <col min="1" max="1" width="6.42578125" style="473" customWidth="1"/>
    <col min="2" max="2" width="6.140625" style="473" customWidth="1"/>
    <col min="3" max="3" width="6.7109375" style="473" customWidth="1"/>
    <col min="4" max="4" width="60.5703125" style="473" customWidth="1"/>
    <col min="5" max="5" width="11.42578125" style="473" customWidth="1"/>
    <col min="6" max="6" width="13.7109375" style="473" customWidth="1"/>
    <col min="7" max="7" width="14.140625" style="473" customWidth="1"/>
    <col min="8" max="9" width="13.140625" style="473" customWidth="1"/>
    <col min="10" max="176" width="9.140625" style="473" bestFit="1" customWidth="1"/>
    <col min="177" max="177" width="6.42578125" style="473" customWidth="1"/>
    <col min="178" max="178" width="6.140625" style="473" customWidth="1"/>
    <col min="179" max="179" width="6.7109375" style="473" customWidth="1"/>
    <col min="180" max="180" width="66" style="473" customWidth="1"/>
    <col min="181" max="183" width="10.85546875" style="473" customWidth="1"/>
    <col min="184" max="184" width="11.5703125" style="473" customWidth="1"/>
    <col min="185" max="187" width="9" style="473" hidden="1" customWidth="1"/>
    <col min="188" max="189" width="13.140625" style="473" customWidth="1"/>
    <col min="190" max="190" width="12.140625" style="473" customWidth="1"/>
    <col min="191" max="205" width="9" style="473" hidden="1" customWidth="1"/>
    <col min="206" max="432" width="9.140625" style="473" bestFit="1" customWidth="1"/>
    <col min="433" max="433" width="6.42578125" style="473" customWidth="1"/>
    <col min="434" max="434" width="6.140625" style="473" customWidth="1"/>
    <col min="435" max="435" width="6.7109375" style="473" customWidth="1"/>
    <col min="436" max="436" width="66" style="473" customWidth="1"/>
    <col min="437" max="439" width="10.85546875" style="473" customWidth="1"/>
    <col min="440" max="440" width="11.5703125" style="473" customWidth="1"/>
    <col min="441" max="443" width="9" style="473" hidden="1" customWidth="1"/>
    <col min="444" max="445" width="13.140625" style="473" customWidth="1"/>
    <col min="446" max="446" width="12.140625" style="473" customWidth="1"/>
    <col min="447" max="461" width="9" style="473" hidden="1" customWidth="1"/>
    <col min="462" max="688" width="9.140625" style="473" bestFit="1" customWidth="1"/>
    <col min="689" max="689" width="6.42578125" style="473" customWidth="1"/>
    <col min="690" max="690" width="6.140625" style="473" customWidth="1"/>
    <col min="691" max="691" width="6.7109375" style="473" customWidth="1"/>
    <col min="692" max="692" width="66" style="473" customWidth="1"/>
    <col min="693" max="695" width="10.85546875" style="473" customWidth="1"/>
    <col min="696" max="696" width="11.5703125" style="473" customWidth="1"/>
    <col min="697" max="699" width="9" style="473" hidden="1" customWidth="1"/>
    <col min="700" max="701" width="13.140625" style="473" customWidth="1"/>
    <col min="702" max="702" width="12.140625" style="473" customWidth="1"/>
    <col min="703" max="717" width="9" style="473" hidden="1" customWidth="1"/>
    <col min="718" max="944" width="9.140625" style="473" bestFit="1" customWidth="1"/>
    <col min="945" max="945" width="6.42578125" style="473" customWidth="1"/>
    <col min="946" max="946" width="6.140625" style="473" customWidth="1"/>
    <col min="947" max="947" width="6.7109375" style="473" customWidth="1"/>
    <col min="948" max="948" width="66" style="473" customWidth="1"/>
    <col min="949" max="951" width="10.85546875" style="473" customWidth="1"/>
    <col min="952" max="952" width="11.5703125" style="473" customWidth="1"/>
    <col min="953" max="955" width="9" style="473" hidden="1" customWidth="1"/>
    <col min="956" max="957" width="13.140625" style="473" customWidth="1"/>
    <col min="958" max="958" width="12.140625" style="473" customWidth="1"/>
    <col min="959" max="973" width="9" style="473" hidden="1" customWidth="1"/>
    <col min="974" max="1200" width="9.140625" style="473" bestFit="1" customWidth="1"/>
    <col min="1201" max="1201" width="6.42578125" style="473" customWidth="1"/>
    <col min="1202" max="1202" width="6.140625" style="473" customWidth="1"/>
    <col min="1203" max="1203" width="6.7109375" style="473" customWidth="1"/>
    <col min="1204" max="1204" width="66" style="473" customWidth="1"/>
    <col min="1205" max="1207" width="10.85546875" style="473" customWidth="1"/>
    <col min="1208" max="1208" width="11.5703125" style="473" customWidth="1"/>
    <col min="1209" max="1211" width="9" style="473" hidden="1" customWidth="1"/>
    <col min="1212" max="1213" width="13.140625" style="473" customWidth="1"/>
    <col min="1214" max="1214" width="12.140625" style="473" customWidth="1"/>
    <col min="1215" max="1229" width="9" style="473" hidden="1" customWidth="1"/>
    <col min="1230" max="1456" width="9.140625" style="473" bestFit="1" customWidth="1"/>
    <col min="1457" max="1457" width="6.42578125" style="473" customWidth="1"/>
    <col min="1458" max="1458" width="6.140625" style="473" customWidth="1"/>
    <col min="1459" max="1459" width="6.7109375" style="473" customWidth="1"/>
    <col min="1460" max="1460" width="66" style="473" customWidth="1"/>
    <col min="1461" max="1463" width="10.85546875" style="473" customWidth="1"/>
    <col min="1464" max="1464" width="11.5703125" style="473" customWidth="1"/>
    <col min="1465" max="1467" width="9" style="473" hidden="1" customWidth="1"/>
    <col min="1468" max="1469" width="13.140625" style="473" customWidth="1"/>
    <col min="1470" max="1470" width="12.140625" style="473" customWidth="1"/>
    <col min="1471" max="1485" width="9" style="473" hidden="1" customWidth="1"/>
    <col min="1486" max="1712" width="9.140625" style="473" bestFit="1" customWidth="1"/>
    <col min="1713" max="1713" width="6.42578125" style="473" customWidth="1"/>
    <col min="1714" max="1714" width="6.140625" style="473" customWidth="1"/>
    <col min="1715" max="1715" width="6.7109375" style="473" customWidth="1"/>
    <col min="1716" max="1716" width="66" style="473" customWidth="1"/>
    <col min="1717" max="1719" width="10.85546875" style="473" customWidth="1"/>
    <col min="1720" max="1720" width="11.5703125" style="473" customWidth="1"/>
    <col min="1721" max="1723" width="9" style="473" hidden="1" customWidth="1"/>
    <col min="1724" max="1725" width="13.140625" style="473" customWidth="1"/>
    <col min="1726" max="1726" width="12.140625" style="473" customWidth="1"/>
    <col min="1727" max="1741" width="9" style="473" hidden="1" customWidth="1"/>
    <col min="1742" max="1968" width="9.140625" style="473" bestFit="1" customWidth="1"/>
    <col min="1969" max="1969" width="6.42578125" style="473" customWidth="1"/>
    <col min="1970" max="1970" width="6.140625" style="473" customWidth="1"/>
    <col min="1971" max="1971" width="6.7109375" style="473" customWidth="1"/>
    <col min="1972" max="1972" width="66" style="473" customWidth="1"/>
    <col min="1973" max="1975" width="10.85546875" style="473" customWidth="1"/>
    <col min="1976" max="1976" width="11.5703125" style="473" customWidth="1"/>
    <col min="1977" max="1979" width="9" style="473" hidden="1" customWidth="1"/>
    <col min="1980" max="1981" width="13.140625" style="473" customWidth="1"/>
    <col min="1982" max="1982" width="12.140625" style="473" customWidth="1"/>
    <col min="1983" max="1997" width="9" style="473" hidden="1" customWidth="1"/>
    <col min="1998" max="2224" width="9.140625" style="473" bestFit="1" customWidth="1"/>
    <col min="2225" max="2225" width="6.42578125" style="473" customWidth="1"/>
    <col min="2226" max="2226" width="6.140625" style="473" customWidth="1"/>
    <col min="2227" max="2227" width="6.7109375" style="473" customWidth="1"/>
    <col min="2228" max="2228" width="66" style="473" customWidth="1"/>
    <col min="2229" max="2231" width="10.85546875" style="473" customWidth="1"/>
    <col min="2232" max="2232" width="11.5703125" style="473" customWidth="1"/>
    <col min="2233" max="2235" width="9" style="473" hidden="1" customWidth="1"/>
    <col min="2236" max="2237" width="13.140625" style="473" customWidth="1"/>
    <col min="2238" max="2238" width="12.140625" style="473" customWidth="1"/>
    <col min="2239" max="2253" width="9" style="473" hidden="1" customWidth="1"/>
    <col min="2254" max="2480" width="9.140625" style="473" bestFit="1" customWidth="1"/>
    <col min="2481" max="2481" width="6.42578125" style="473" customWidth="1"/>
    <col min="2482" max="2482" width="6.140625" style="473" customWidth="1"/>
    <col min="2483" max="2483" width="6.7109375" style="473" customWidth="1"/>
    <col min="2484" max="2484" width="66" style="473" customWidth="1"/>
    <col min="2485" max="2487" width="10.85546875" style="473" customWidth="1"/>
    <col min="2488" max="2488" width="11.5703125" style="473" customWidth="1"/>
    <col min="2489" max="2491" width="9" style="473" hidden="1" customWidth="1"/>
    <col min="2492" max="2493" width="13.140625" style="473" customWidth="1"/>
    <col min="2494" max="2494" width="12.140625" style="473" customWidth="1"/>
    <col min="2495" max="2509" width="9" style="473" hidden="1" customWidth="1"/>
    <col min="2510" max="2736" width="9.140625" style="473" bestFit="1" customWidth="1"/>
    <col min="2737" max="2737" width="6.42578125" style="473" customWidth="1"/>
    <col min="2738" max="2738" width="6.140625" style="473" customWidth="1"/>
    <col min="2739" max="2739" width="6.7109375" style="473" customWidth="1"/>
    <col min="2740" max="2740" width="66" style="473" customWidth="1"/>
    <col min="2741" max="2743" width="10.85546875" style="473" customWidth="1"/>
    <col min="2744" max="2744" width="11.5703125" style="473" customWidth="1"/>
    <col min="2745" max="2747" width="9" style="473" hidden="1" customWidth="1"/>
    <col min="2748" max="2749" width="13.140625" style="473" customWidth="1"/>
    <col min="2750" max="2750" width="12.140625" style="473" customWidth="1"/>
    <col min="2751" max="2765" width="9" style="473" hidden="1" customWidth="1"/>
    <col min="2766" max="2992" width="9.140625" style="473" bestFit="1" customWidth="1"/>
    <col min="2993" max="2993" width="6.42578125" style="473" customWidth="1"/>
    <col min="2994" max="2994" width="6.140625" style="473" customWidth="1"/>
    <col min="2995" max="2995" width="6.7109375" style="473" customWidth="1"/>
    <col min="2996" max="2996" width="66" style="473" customWidth="1"/>
    <col min="2997" max="2999" width="10.85546875" style="473" customWidth="1"/>
    <col min="3000" max="3000" width="11.5703125" style="473" customWidth="1"/>
    <col min="3001" max="3003" width="9" style="473" hidden="1" customWidth="1"/>
    <col min="3004" max="3005" width="13.140625" style="473" customWidth="1"/>
    <col min="3006" max="3006" width="12.140625" style="473" customWidth="1"/>
    <col min="3007" max="3021" width="9" style="473" hidden="1" customWidth="1"/>
    <col min="3022" max="3248" width="9.140625" style="473" bestFit="1" customWidth="1"/>
    <col min="3249" max="3249" width="6.42578125" style="473" customWidth="1"/>
    <col min="3250" max="3250" width="6.140625" style="473" customWidth="1"/>
    <col min="3251" max="3251" width="6.7109375" style="473" customWidth="1"/>
    <col min="3252" max="3252" width="66" style="473" customWidth="1"/>
    <col min="3253" max="3255" width="10.85546875" style="473" customWidth="1"/>
    <col min="3256" max="3256" width="11.5703125" style="473" customWidth="1"/>
    <col min="3257" max="3259" width="9" style="473" hidden="1" customWidth="1"/>
    <col min="3260" max="3261" width="13.140625" style="473" customWidth="1"/>
    <col min="3262" max="3262" width="12.140625" style="473" customWidth="1"/>
    <col min="3263" max="3277" width="9" style="473" hidden="1" customWidth="1"/>
    <col min="3278" max="3504" width="9.140625" style="473" bestFit="1" customWidth="1"/>
    <col min="3505" max="3505" width="6.42578125" style="473" customWidth="1"/>
    <col min="3506" max="3506" width="6.140625" style="473" customWidth="1"/>
    <col min="3507" max="3507" width="6.7109375" style="473" customWidth="1"/>
    <col min="3508" max="3508" width="66" style="473" customWidth="1"/>
    <col min="3509" max="3511" width="10.85546875" style="473" customWidth="1"/>
    <col min="3512" max="3512" width="11.5703125" style="473" customWidth="1"/>
    <col min="3513" max="3515" width="9" style="473" hidden="1" customWidth="1"/>
    <col min="3516" max="3517" width="13.140625" style="473" customWidth="1"/>
    <col min="3518" max="3518" width="12.140625" style="473" customWidth="1"/>
    <col min="3519" max="3533" width="9" style="473" hidden="1" customWidth="1"/>
    <col min="3534" max="3760" width="9.140625" style="473" bestFit="1" customWidth="1"/>
    <col min="3761" max="3761" width="6.42578125" style="473" customWidth="1"/>
    <col min="3762" max="3762" width="6.140625" style="473" customWidth="1"/>
    <col min="3763" max="3763" width="6.7109375" style="473" customWidth="1"/>
    <col min="3764" max="3764" width="66" style="473" customWidth="1"/>
    <col min="3765" max="3767" width="10.85546875" style="473" customWidth="1"/>
    <col min="3768" max="3768" width="11.5703125" style="473" customWidth="1"/>
    <col min="3769" max="3771" width="9" style="473" hidden="1" customWidth="1"/>
    <col min="3772" max="3773" width="13.140625" style="473" customWidth="1"/>
    <col min="3774" max="3774" width="12.140625" style="473" customWidth="1"/>
    <col min="3775" max="3789" width="9" style="473" hidden="1" customWidth="1"/>
    <col min="3790" max="4016" width="9.140625" style="473" bestFit="1" customWidth="1"/>
    <col min="4017" max="4017" width="6.42578125" style="473" customWidth="1"/>
    <col min="4018" max="4018" width="6.140625" style="473" customWidth="1"/>
    <col min="4019" max="4019" width="6.7109375" style="473" customWidth="1"/>
    <col min="4020" max="4020" width="66" style="473" customWidth="1"/>
    <col min="4021" max="4023" width="10.85546875" style="473" customWidth="1"/>
    <col min="4024" max="4024" width="11.5703125" style="473" customWidth="1"/>
    <col min="4025" max="4027" width="9" style="473" hidden="1" customWidth="1"/>
    <col min="4028" max="4029" width="13.140625" style="473" customWidth="1"/>
    <col min="4030" max="4030" width="12.140625" style="473" customWidth="1"/>
    <col min="4031" max="4045" width="9" style="473" hidden="1" customWidth="1"/>
    <col min="4046" max="4272" width="9.140625" style="473" bestFit="1" customWidth="1"/>
    <col min="4273" max="4273" width="6.42578125" style="473" customWidth="1"/>
    <col min="4274" max="4274" width="6.140625" style="473" customWidth="1"/>
    <col min="4275" max="4275" width="6.7109375" style="473" customWidth="1"/>
    <col min="4276" max="4276" width="66" style="473" customWidth="1"/>
    <col min="4277" max="4279" width="10.85546875" style="473" customWidth="1"/>
    <col min="4280" max="4280" width="11.5703125" style="473" customWidth="1"/>
    <col min="4281" max="4283" width="9" style="473" hidden="1" customWidth="1"/>
    <col min="4284" max="4285" width="13.140625" style="473" customWidth="1"/>
    <col min="4286" max="4286" width="12.140625" style="473" customWidth="1"/>
    <col min="4287" max="4301" width="9" style="473" hidden="1" customWidth="1"/>
    <col min="4302" max="4528" width="9.140625" style="473" bestFit="1" customWidth="1"/>
    <col min="4529" max="4529" width="6.42578125" style="473" customWidth="1"/>
    <col min="4530" max="4530" width="6.140625" style="473" customWidth="1"/>
    <col min="4531" max="4531" width="6.7109375" style="473" customWidth="1"/>
    <col min="4532" max="4532" width="66" style="473" customWidth="1"/>
    <col min="4533" max="4535" width="10.85546875" style="473" customWidth="1"/>
    <col min="4536" max="4536" width="11.5703125" style="473" customWidth="1"/>
    <col min="4537" max="4539" width="9" style="473" hidden="1" customWidth="1"/>
    <col min="4540" max="4541" width="13.140625" style="473" customWidth="1"/>
    <col min="4542" max="4542" width="12.140625" style="473" customWidth="1"/>
    <col min="4543" max="4557" width="9" style="473" hidden="1" customWidth="1"/>
    <col min="4558" max="4784" width="9.140625" style="473" bestFit="1" customWidth="1"/>
    <col min="4785" max="4785" width="6.42578125" style="473" customWidth="1"/>
    <col min="4786" max="4786" width="6.140625" style="473" customWidth="1"/>
    <col min="4787" max="4787" width="6.7109375" style="473" customWidth="1"/>
    <col min="4788" max="4788" width="66" style="473" customWidth="1"/>
    <col min="4789" max="4791" width="10.85546875" style="473" customWidth="1"/>
    <col min="4792" max="4792" width="11.5703125" style="473" customWidth="1"/>
    <col min="4793" max="4795" width="9" style="473" hidden="1" customWidth="1"/>
    <col min="4796" max="4797" width="13.140625" style="473" customWidth="1"/>
    <col min="4798" max="4798" width="12.140625" style="473" customWidth="1"/>
    <col min="4799" max="4813" width="9" style="473" hidden="1" customWidth="1"/>
    <col min="4814" max="5040" width="9.140625" style="473" bestFit="1" customWidth="1"/>
    <col min="5041" max="5041" width="6.42578125" style="473" customWidth="1"/>
    <col min="5042" max="5042" width="6.140625" style="473" customWidth="1"/>
    <col min="5043" max="5043" width="6.7109375" style="473" customWidth="1"/>
    <col min="5044" max="5044" width="66" style="473" customWidth="1"/>
    <col min="5045" max="5047" width="10.85546875" style="473" customWidth="1"/>
    <col min="5048" max="5048" width="11.5703125" style="473" customWidth="1"/>
    <col min="5049" max="5051" width="9" style="473" hidden="1" customWidth="1"/>
    <col min="5052" max="5053" width="13.140625" style="473" customWidth="1"/>
    <col min="5054" max="5054" width="12.140625" style="473" customWidth="1"/>
    <col min="5055" max="5069" width="9" style="473" hidden="1" customWidth="1"/>
    <col min="5070" max="5296" width="9.140625" style="473" bestFit="1" customWidth="1"/>
    <col min="5297" max="5297" width="6.42578125" style="473" customWidth="1"/>
    <col min="5298" max="5298" width="6.140625" style="473" customWidth="1"/>
    <col min="5299" max="5299" width="6.7109375" style="473" customWidth="1"/>
    <col min="5300" max="5300" width="66" style="473" customWidth="1"/>
    <col min="5301" max="5303" width="10.85546875" style="473" customWidth="1"/>
    <col min="5304" max="5304" width="11.5703125" style="473" customWidth="1"/>
    <col min="5305" max="5307" width="9" style="473" hidden="1" customWidth="1"/>
    <col min="5308" max="5309" width="13.140625" style="473" customWidth="1"/>
    <col min="5310" max="5310" width="12.140625" style="473" customWidth="1"/>
    <col min="5311" max="5325" width="9" style="473" hidden="1" customWidth="1"/>
    <col min="5326" max="5552" width="9.140625" style="473" bestFit="1" customWidth="1"/>
    <col min="5553" max="5553" width="6.42578125" style="473" customWidth="1"/>
    <col min="5554" max="5554" width="6.140625" style="473" customWidth="1"/>
    <col min="5555" max="5555" width="6.7109375" style="473" customWidth="1"/>
    <col min="5556" max="5556" width="66" style="473" customWidth="1"/>
    <col min="5557" max="5559" width="10.85546875" style="473" customWidth="1"/>
    <col min="5560" max="5560" width="11.5703125" style="473" customWidth="1"/>
    <col min="5561" max="5563" width="9" style="473" hidden="1" customWidth="1"/>
    <col min="5564" max="5565" width="13.140625" style="473" customWidth="1"/>
    <col min="5566" max="5566" width="12.140625" style="473" customWidth="1"/>
    <col min="5567" max="5581" width="9" style="473" hidden="1" customWidth="1"/>
    <col min="5582" max="5808" width="9.140625" style="473" bestFit="1" customWidth="1"/>
    <col min="5809" max="5809" width="6.42578125" style="473" customWidth="1"/>
    <col min="5810" max="5810" width="6.140625" style="473" customWidth="1"/>
    <col min="5811" max="5811" width="6.7109375" style="473" customWidth="1"/>
    <col min="5812" max="5812" width="66" style="473" customWidth="1"/>
    <col min="5813" max="5815" width="10.85546875" style="473" customWidth="1"/>
    <col min="5816" max="5816" width="11.5703125" style="473" customWidth="1"/>
    <col min="5817" max="5819" width="9" style="473" hidden="1" customWidth="1"/>
    <col min="5820" max="5821" width="13.140625" style="473" customWidth="1"/>
    <col min="5822" max="5822" width="12.140625" style="473" customWidth="1"/>
    <col min="5823" max="5837" width="9" style="473" hidden="1" customWidth="1"/>
    <col min="5838" max="6064" width="9.140625" style="473" bestFit="1" customWidth="1"/>
    <col min="6065" max="6065" width="6.42578125" style="473" customWidth="1"/>
    <col min="6066" max="6066" width="6.140625" style="473" customWidth="1"/>
    <col min="6067" max="6067" width="6.7109375" style="473" customWidth="1"/>
    <col min="6068" max="6068" width="66" style="473" customWidth="1"/>
    <col min="6069" max="6071" width="10.85546875" style="473" customWidth="1"/>
    <col min="6072" max="6072" width="11.5703125" style="473" customWidth="1"/>
    <col min="6073" max="6075" width="9" style="473" hidden="1" customWidth="1"/>
    <col min="6076" max="6077" width="13.140625" style="473" customWidth="1"/>
    <col min="6078" max="6078" width="12.140625" style="473" customWidth="1"/>
    <col min="6079" max="6093" width="9" style="473" hidden="1" customWidth="1"/>
    <col min="6094" max="6320" width="9.140625" style="473" bestFit="1" customWidth="1"/>
    <col min="6321" max="6321" width="6.42578125" style="473" customWidth="1"/>
    <col min="6322" max="6322" width="6.140625" style="473" customWidth="1"/>
    <col min="6323" max="6323" width="6.7109375" style="473" customWidth="1"/>
    <col min="6324" max="6324" width="66" style="473" customWidth="1"/>
    <col min="6325" max="6327" width="10.85546875" style="473" customWidth="1"/>
    <col min="6328" max="6328" width="11.5703125" style="473" customWidth="1"/>
    <col min="6329" max="6331" width="9" style="473" hidden="1" customWidth="1"/>
    <col min="6332" max="6333" width="13.140625" style="473" customWidth="1"/>
    <col min="6334" max="6334" width="12.140625" style="473" customWidth="1"/>
    <col min="6335" max="6349" width="9" style="473" hidden="1" customWidth="1"/>
    <col min="6350" max="6576" width="9.140625" style="473" bestFit="1" customWidth="1"/>
    <col min="6577" max="6577" width="6.42578125" style="473" customWidth="1"/>
    <col min="6578" max="6578" width="6.140625" style="473" customWidth="1"/>
    <col min="6579" max="6579" width="6.7109375" style="473" customWidth="1"/>
    <col min="6580" max="6580" width="66" style="473" customWidth="1"/>
    <col min="6581" max="6583" width="10.85546875" style="473" customWidth="1"/>
    <col min="6584" max="6584" width="11.5703125" style="473" customWidth="1"/>
    <col min="6585" max="6587" width="9" style="473" hidden="1" customWidth="1"/>
    <col min="6588" max="6589" width="13.140625" style="473" customWidth="1"/>
    <col min="6590" max="6590" width="12.140625" style="473" customWidth="1"/>
    <col min="6591" max="6605" width="9" style="473" hidden="1" customWidth="1"/>
    <col min="6606" max="6832" width="9.140625" style="473" bestFit="1" customWidth="1"/>
    <col min="6833" max="6833" width="6.42578125" style="473" customWidth="1"/>
    <col min="6834" max="6834" width="6.140625" style="473" customWidth="1"/>
    <col min="6835" max="6835" width="6.7109375" style="473" customWidth="1"/>
    <col min="6836" max="6836" width="66" style="473" customWidth="1"/>
    <col min="6837" max="6839" width="10.85546875" style="473" customWidth="1"/>
    <col min="6840" max="6840" width="11.5703125" style="473" customWidth="1"/>
    <col min="6841" max="6843" width="9" style="473" hidden="1" customWidth="1"/>
    <col min="6844" max="6845" width="13.140625" style="473" customWidth="1"/>
    <col min="6846" max="6846" width="12.140625" style="473" customWidth="1"/>
    <col min="6847" max="6861" width="9" style="473" hidden="1" customWidth="1"/>
    <col min="6862" max="7088" width="9.140625" style="473" bestFit="1" customWidth="1"/>
    <col min="7089" max="7089" width="6.42578125" style="473" customWidth="1"/>
    <col min="7090" max="7090" width="6.140625" style="473" customWidth="1"/>
    <col min="7091" max="7091" width="6.7109375" style="473" customWidth="1"/>
    <col min="7092" max="7092" width="66" style="473" customWidth="1"/>
    <col min="7093" max="7095" width="10.85546875" style="473" customWidth="1"/>
    <col min="7096" max="7096" width="11.5703125" style="473" customWidth="1"/>
    <col min="7097" max="7099" width="9" style="473" hidden="1" customWidth="1"/>
    <col min="7100" max="7101" width="13.140625" style="473" customWidth="1"/>
    <col min="7102" max="7102" width="12.140625" style="473" customWidth="1"/>
    <col min="7103" max="7117" width="9" style="473" hidden="1" customWidth="1"/>
    <col min="7118" max="7344" width="9.140625" style="473" bestFit="1" customWidth="1"/>
    <col min="7345" max="7345" width="6.42578125" style="473" customWidth="1"/>
    <col min="7346" max="7346" width="6.140625" style="473" customWidth="1"/>
    <col min="7347" max="7347" width="6.7109375" style="473" customWidth="1"/>
    <col min="7348" max="7348" width="66" style="473" customWidth="1"/>
    <col min="7349" max="7351" width="10.85546875" style="473" customWidth="1"/>
    <col min="7352" max="7352" width="11.5703125" style="473" customWidth="1"/>
    <col min="7353" max="7355" width="9" style="473" hidden="1" customWidth="1"/>
    <col min="7356" max="7357" width="13.140625" style="473" customWidth="1"/>
    <col min="7358" max="7358" width="12.140625" style="473" customWidth="1"/>
    <col min="7359" max="7373" width="9" style="473" hidden="1" customWidth="1"/>
    <col min="7374" max="7600" width="9.140625" style="473" bestFit="1" customWidth="1"/>
    <col min="7601" max="7601" width="6.42578125" style="473" customWidth="1"/>
    <col min="7602" max="7602" width="6.140625" style="473" customWidth="1"/>
    <col min="7603" max="7603" width="6.7109375" style="473" customWidth="1"/>
    <col min="7604" max="7604" width="66" style="473" customWidth="1"/>
    <col min="7605" max="7607" width="10.85546875" style="473" customWidth="1"/>
    <col min="7608" max="7608" width="11.5703125" style="473" customWidth="1"/>
    <col min="7609" max="7611" width="9" style="473" hidden="1" customWidth="1"/>
    <col min="7612" max="7613" width="13.140625" style="473" customWidth="1"/>
    <col min="7614" max="7614" width="12.140625" style="473" customWidth="1"/>
    <col min="7615" max="7629" width="9" style="473" hidden="1" customWidth="1"/>
    <col min="7630" max="7856" width="9.140625" style="473" bestFit="1" customWidth="1"/>
    <col min="7857" max="7857" width="6.42578125" style="473" customWidth="1"/>
    <col min="7858" max="7858" width="6.140625" style="473" customWidth="1"/>
    <col min="7859" max="7859" width="6.7109375" style="473" customWidth="1"/>
    <col min="7860" max="7860" width="66" style="473" customWidth="1"/>
    <col min="7861" max="7863" width="10.85546875" style="473" customWidth="1"/>
    <col min="7864" max="7864" width="11.5703125" style="473" customWidth="1"/>
    <col min="7865" max="7867" width="9" style="473" hidden="1" customWidth="1"/>
    <col min="7868" max="7869" width="13.140625" style="473" customWidth="1"/>
    <col min="7870" max="7870" width="12.140625" style="473" customWidth="1"/>
    <col min="7871" max="7885" width="9" style="473" hidden="1" customWidth="1"/>
    <col min="7886" max="8112" width="9.140625" style="473" bestFit="1" customWidth="1"/>
    <col min="8113" max="8113" width="6.42578125" style="473" customWidth="1"/>
    <col min="8114" max="8114" width="6.140625" style="473" customWidth="1"/>
    <col min="8115" max="8115" width="6.7109375" style="473" customWidth="1"/>
    <col min="8116" max="8116" width="66" style="473" customWidth="1"/>
    <col min="8117" max="8119" width="10.85546875" style="473" customWidth="1"/>
    <col min="8120" max="8120" width="11.5703125" style="473" customWidth="1"/>
    <col min="8121" max="8123" width="9" style="473" hidden="1" customWidth="1"/>
    <col min="8124" max="8125" width="13.140625" style="473" customWidth="1"/>
    <col min="8126" max="8126" width="12.140625" style="473" customWidth="1"/>
    <col min="8127" max="8141" width="9" style="473" hidden="1" customWidth="1"/>
    <col min="8142" max="8368" width="9.140625" style="473" bestFit="1" customWidth="1"/>
    <col min="8369" max="8369" width="6.42578125" style="473" customWidth="1"/>
    <col min="8370" max="8370" width="6.140625" style="473" customWidth="1"/>
    <col min="8371" max="8371" width="6.7109375" style="473" customWidth="1"/>
    <col min="8372" max="8372" width="66" style="473" customWidth="1"/>
    <col min="8373" max="8375" width="10.85546875" style="473" customWidth="1"/>
    <col min="8376" max="8376" width="11.5703125" style="473" customWidth="1"/>
    <col min="8377" max="8379" width="9" style="473" hidden="1" customWidth="1"/>
    <col min="8380" max="8381" width="13.140625" style="473" customWidth="1"/>
    <col min="8382" max="8382" width="12.140625" style="473" customWidth="1"/>
    <col min="8383" max="8397" width="9" style="473" hidden="1" customWidth="1"/>
    <col min="8398" max="8624" width="9.140625" style="473" bestFit="1" customWidth="1"/>
    <col min="8625" max="8625" width="6.42578125" style="473" customWidth="1"/>
    <col min="8626" max="8626" width="6.140625" style="473" customWidth="1"/>
    <col min="8627" max="8627" width="6.7109375" style="473" customWidth="1"/>
    <col min="8628" max="8628" width="66" style="473" customWidth="1"/>
    <col min="8629" max="8631" width="10.85546875" style="473" customWidth="1"/>
    <col min="8632" max="8632" width="11.5703125" style="473" customWidth="1"/>
    <col min="8633" max="8635" width="9" style="473" hidden="1" customWidth="1"/>
    <col min="8636" max="8637" width="13.140625" style="473" customWidth="1"/>
    <col min="8638" max="8638" width="12.140625" style="473" customWidth="1"/>
    <col min="8639" max="8653" width="9" style="473" hidden="1" customWidth="1"/>
    <col min="8654" max="8880" width="9.140625" style="473" bestFit="1" customWidth="1"/>
    <col min="8881" max="8881" width="6.42578125" style="473" customWidth="1"/>
    <col min="8882" max="8882" width="6.140625" style="473" customWidth="1"/>
    <col min="8883" max="8883" width="6.7109375" style="473" customWidth="1"/>
    <col min="8884" max="8884" width="66" style="473" customWidth="1"/>
    <col min="8885" max="8887" width="10.85546875" style="473" customWidth="1"/>
    <col min="8888" max="8888" width="11.5703125" style="473" customWidth="1"/>
    <col min="8889" max="8891" width="9" style="473" hidden="1" customWidth="1"/>
    <col min="8892" max="8893" width="13.140625" style="473" customWidth="1"/>
    <col min="8894" max="8894" width="12.140625" style="473" customWidth="1"/>
    <col min="8895" max="8909" width="9" style="473" hidden="1" customWidth="1"/>
    <col min="8910" max="9136" width="9.140625" style="473" bestFit="1" customWidth="1"/>
    <col min="9137" max="9137" width="6.42578125" style="473" customWidth="1"/>
    <col min="9138" max="9138" width="6.140625" style="473" customWidth="1"/>
    <col min="9139" max="9139" width="6.7109375" style="473" customWidth="1"/>
    <col min="9140" max="9140" width="66" style="473" customWidth="1"/>
    <col min="9141" max="9143" width="10.85546875" style="473" customWidth="1"/>
    <col min="9144" max="9144" width="11.5703125" style="473" customWidth="1"/>
    <col min="9145" max="9147" width="9" style="473" hidden="1" customWidth="1"/>
    <col min="9148" max="9149" width="13.140625" style="473" customWidth="1"/>
    <col min="9150" max="9150" width="12.140625" style="473" customWidth="1"/>
    <col min="9151" max="9165" width="9" style="473" hidden="1" customWidth="1"/>
    <col min="9166" max="9392" width="9.140625" style="473" bestFit="1" customWidth="1"/>
    <col min="9393" max="9393" width="6.42578125" style="473" customWidth="1"/>
    <col min="9394" max="9394" width="6.140625" style="473" customWidth="1"/>
    <col min="9395" max="9395" width="6.7109375" style="473" customWidth="1"/>
    <col min="9396" max="9396" width="66" style="473" customWidth="1"/>
    <col min="9397" max="9399" width="10.85546875" style="473" customWidth="1"/>
    <col min="9400" max="9400" width="11.5703125" style="473" customWidth="1"/>
    <col min="9401" max="9403" width="9" style="473" hidden="1" customWidth="1"/>
    <col min="9404" max="9405" width="13.140625" style="473" customWidth="1"/>
    <col min="9406" max="9406" width="12.140625" style="473" customWidth="1"/>
    <col min="9407" max="9421" width="9" style="473" hidden="1" customWidth="1"/>
    <col min="9422" max="9648" width="9.140625" style="473" bestFit="1" customWidth="1"/>
    <col min="9649" max="9649" width="6.42578125" style="473" customWidth="1"/>
    <col min="9650" max="9650" width="6.140625" style="473" customWidth="1"/>
    <col min="9651" max="9651" width="6.7109375" style="473" customWidth="1"/>
    <col min="9652" max="9652" width="66" style="473" customWidth="1"/>
    <col min="9653" max="9655" width="10.85546875" style="473" customWidth="1"/>
    <col min="9656" max="9656" width="11.5703125" style="473" customWidth="1"/>
    <col min="9657" max="9659" width="9" style="473" hidden="1" customWidth="1"/>
    <col min="9660" max="9661" width="13.140625" style="473" customWidth="1"/>
    <col min="9662" max="9662" width="12.140625" style="473" customWidth="1"/>
    <col min="9663" max="9677" width="9" style="473" hidden="1" customWidth="1"/>
    <col min="9678" max="9904" width="9.140625" style="473" bestFit="1" customWidth="1"/>
    <col min="9905" max="9905" width="6.42578125" style="473" customWidth="1"/>
    <col min="9906" max="9906" width="6.140625" style="473" customWidth="1"/>
    <col min="9907" max="9907" width="6.7109375" style="473" customWidth="1"/>
    <col min="9908" max="9908" width="66" style="473" customWidth="1"/>
    <col min="9909" max="9911" width="10.85546875" style="473" customWidth="1"/>
    <col min="9912" max="9912" width="11.5703125" style="473" customWidth="1"/>
    <col min="9913" max="9915" width="9" style="473" hidden="1" customWidth="1"/>
    <col min="9916" max="9917" width="13.140625" style="473" customWidth="1"/>
    <col min="9918" max="9918" width="12.140625" style="473" customWidth="1"/>
    <col min="9919" max="9933" width="9" style="473" hidden="1" customWidth="1"/>
    <col min="9934" max="10160" width="9.140625" style="473" bestFit="1" customWidth="1"/>
    <col min="10161" max="10161" width="6.42578125" style="473" customWidth="1"/>
    <col min="10162" max="10162" width="6.140625" style="473" customWidth="1"/>
    <col min="10163" max="10163" width="6.7109375" style="473" customWidth="1"/>
    <col min="10164" max="10164" width="66" style="473" customWidth="1"/>
    <col min="10165" max="10167" width="10.85546875" style="473" customWidth="1"/>
    <col min="10168" max="10168" width="11.5703125" style="473" customWidth="1"/>
    <col min="10169" max="10171" width="9" style="473" hidden="1" customWidth="1"/>
    <col min="10172" max="10173" width="13.140625" style="473" customWidth="1"/>
    <col min="10174" max="10174" width="12.140625" style="473" customWidth="1"/>
    <col min="10175" max="10189" width="9" style="473" hidden="1" customWidth="1"/>
    <col min="10190" max="10416" width="9.140625" style="473" bestFit="1" customWidth="1"/>
    <col min="10417" max="10417" width="6.42578125" style="473" customWidth="1"/>
    <col min="10418" max="10418" width="6.140625" style="473" customWidth="1"/>
    <col min="10419" max="10419" width="6.7109375" style="473" customWidth="1"/>
    <col min="10420" max="10420" width="66" style="473" customWidth="1"/>
    <col min="10421" max="10423" width="10.85546875" style="473" customWidth="1"/>
    <col min="10424" max="10424" width="11.5703125" style="473" customWidth="1"/>
    <col min="10425" max="10427" width="9" style="473" hidden="1" customWidth="1"/>
    <col min="10428" max="10429" width="13.140625" style="473" customWidth="1"/>
    <col min="10430" max="10430" width="12.140625" style="473" customWidth="1"/>
    <col min="10431" max="10445" width="9" style="473" hidden="1" customWidth="1"/>
    <col min="10446" max="10672" width="9.140625" style="473" bestFit="1" customWidth="1"/>
    <col min="10673" max="10673" width="6.42578125" style="473" customWidth="1"/>
    <col min="10674" max="10674" width="6.140625" style="473" customWidth="1"/>
    <col min="10675" max="10675" width="6.7109375" style="473" customWidth="1"/>
    <col min="10676" max="10676" width="66" style="473" customWidth="1"/>
    <col min="10677" max="10679" width="10.85546875" style="473" customWidth="1"/>
    <col min="10680" max="10680" width="11.5703125" style="473" customWidth="1"/>
    <col min="10681" max="10683" width="9" style="473" hidden="1" customWidth="1"/>
    <col min="10684" max="10685" width="13.140625" style="473" customWidth="1"/>
    <col min="10686" max="10686" width="12.140625" style="473" customWidth="1"/>
    <col min="10687" max="10701" width="9" style="473" hidden="1" customWidth="1"/>
    <col min="10702" max="10928" width="9.140625" style="473" bestFit="1" customWidth="1"/>
    <col min="10929" max="10929" width="6.42578125" style="473" customWidth="1"/>
    <col min="10930" max="10930" width="6.140625" style="473" customWidth="1"/>
    <col min="10931" max="10931" width="6.7109375" style="473" customWidth="1"/>
    <col min="10932" max="10932" width="66" style="473" customWidth="1"/>
    <col min="10933" max="10935" width="10.85546875" style="473" customWidth="1"/>
    <col min="10936" max="10936" width="11.5703125" style="473" customWidth="1"/>
    <col min="10937" max="10939" width="9" style="473" hidden="1" customWidth="1"/>
    <col min="10940" max="10941" width="13.140625" style="473" customWidth="1"/>
    <col min="10942" max="10942" width="12.140625" style="473" customWidth="1"/>
    <col min="10943" max="10957" width="9" style="473" hidden="1" customWidth="1"/>
    <col min="10958" max="11184" width="9.140625" style="473" bestFit="1" customWidth="1"/>
    <col min="11185" max="11185" width="6.42578125" style="473" customWidth="1"/>
    <col min="11186" max="11186" width="6.140625" style="473" customWidth="1"/>
    <col min="11187" max="11187" width="6.7109375" style="473" customWidth="1"/>
    <col min="11188" max="11188" width="66" style="473" customWidth="1"/>
    <col min="11189" max="11191" width="10.85546875" style="473" customWidth="1"/>
    <col min="11192" max="11192" width="11.5703125" style="473" customWidth="1"/>
    <col min="11193" max="11195" width="9" style="473" hidden="1" customWidth="1"/>
    <col min="11196" max="11197" width="13.140625" style="473" customWidth="1"/>
    <col min="11198" max="11198" width="12.140625" style="473" customWidth="1"/>
    <col min="11199" max="11213" width="9" style="473" hidden="1" customWidth="1"/>
    <col min="11214" max="11440" width="9.140625" style="473" bestFit="1" customWidth="1"/>
    <col min="11441" max="11441" width="6.42578125" style="473" customWidth="1"/>
    <col min="11442" max="11442" width="6.140625" style="473" customWidth="1"/>
    <col min="11443" max="11443" width="6.7109375" style="473" customWidth="1"/>
    <col min="11444" max="11444" width="66" style="473" customWidth="1"/>
    <col min="11445" max="11447" width="10.85546875" style="473" customWidth="1"/>
    <col min="11448" max="11448" width="11.5703125" style="473" customWidth="1"/>
    <col min="11449" max="11451" width="9" style="473" hidden="1" customWidth="1"/>
    <col min="11452" max="11453" width="13.140625" style="473" customWidth="1"/>
    <col min="11454" max="11454" width="12.140625" style="473" customWidth="1"/>
    <col min="11455" max="11469" width="9" style="473" hidden="1" customWidth="1"/>
    <col min="11470" max="11696" width="9.140625" style="473" bestFit="1" customWidth="1"/>
    <col min="11697" max="11697" width="6.42578125" style="473" customWidth="1"/>
    <col min="11698" max="11698" width="6.140625" style="473" customWidth="1"/>
    <col min="11699" max="11699" width="6.7109375" style="473" customWidth="1"/>
    <col min="11700" max="11700" width="66" style="473" customWidth="1"/>
    <col min="11701" max="11703" width="10.85546875" style="473" customWidth="1"/>
    <col min="11704" max="11704" width="11.5703125" style="473" customWidth="1"/>
    <col min="11705" max="11707" width="9" style="473" hidden="1" customWidth="1"/>
    <col min="11708" max="11709" width="13.140625" style="473" customWidth="1"/>
    <col min="11710" max="11710" width="12.140625" style="473" customWidth="1"/>
    <col min="11711" max="11725" width="9" style="473" hidden="1" customWidth="1"/>
    <col min="11726" max="11952" width="9.140625" style="473" bestFit="1" customWidth="1"/>
    <col min="11953" max="11953" width="6.42578125" style="473" customWidth="1"/>
    <col min="11954" max="11954" width="6.140625" style="473" customWidth="1"/>
    <col min="11955" max="11955" width="6.7109375" style="473" customWidth="1"/>
    <col min="11956" max="11956" width="66" style="473" customWidth="1"/>
    <col min="11957" max="11959" width="10.85546875" style="473" customWidth="1"/>
    <col min="11960" max="11960" width="11.5703125" style="473" customWidth="1"/>
    <col min="11961" max="11963" width="9" style="473" hidden="1" customWidth="1"/>
    <col min="11964" max="11965" width="13.140625" style="473" customWidth="1"/>
    <col min="11966" max="11966" width="12.140625" style="473" customWidth="1"/>
    <col min="11967" max="11981" width="9" style="473" hidden="1" customWidth="1"/>
    <col min="11982" max="12208" width="9.140625" style="473" bestFit="1" customWidth="1"/>
    <col min="12209" max="12209" width="6.42578125" style="473" customWidth="1"/>
    <col min="12210" max="12210" width="6.140625" style="473" customWidth="1"/>
    <col min="12211" max="12211" width="6.7109375" style="473" customWidth="1"/>
    <col min="12212" max="12212" width="66" style="473" customWidth="1"/>
    <col min="12213" max="12215" width="10.85546875" style="473" customWidth="1"/>
    <col min="12216" max="12216" width="11.5703125" style="473" customWidth="1"/>
    <col min="12217" max="12219" width="9" style="473" hidden="1" customWidth="1"/>
    <col min="12220" max="12221" width="13.140625" style="473" customWidth="1"/>
    <col min="12222" max="12222" width="12.140625" style="473" customWidth="1"/>
    <col min="12223" max="12237" width="9" style="473" hidden="1" customWidth="1"/>
    <col min="12238" max="12464" width="9.140625" style="473" bestFit="1" customWidth="1"/>
    <col min="12465" max="12465" width="6.42578125" style="473" customWidth="1"/>
    <col min="12466" max="12466" width="6.140625" style="473" customWidth="1"/>
    <col min="12467" max="12467" width="6.7109375" style="473" customWidth="1"/>
    <col min="12468" max="12468" width="66" style="473" customWidth="1"/>
    <col min="12469" max="12471" width="10.85546875" style="473" customWidth="1"/>
    <col min="12472" max="12472" width="11.5703125" style="473" customWidth="1"/>
    <col min="12473" max="12475" width="9" style="473" hidden="1" customWidth="1"/>
    <col min="12476" max="12477" width="13.140625" style="473" customWidth="1"/>
    <col min="12478" max="12478" width="12.140625" style="473" customWidth="1"/>
    <col min="12479" max="12493" width="9" style="473" hidden="1" customWidth="1"/>
    <col min="12494" max="12720" width="9.140625" style="473" bestFit="1" customWidth="1"/>
    <col min="12721" max="12721" width="6.42578125" style="473" customWidth="1"/>
    <col min="12722" max="12722" width="6.140625" style="473" customWidth="1"/>
    <col min="12723" max="12723" width="6.7109375" style="473" customWidth="1"/>
    <col min="12724" max="12724" width="66" style="473" customWidth="1"/>
    <col min="12725" max="12727" width="10.85546875" style="473" customWidth="1"/>
    <col min="12728" max="12728" width="11.5703125" style="473" customWidth="1"/>
    <col min="12729" max="12731" width="9" style="473" hidden="1" customWidth="1"/>
    <col min="12732" max="12733" width="13.140625" style="473" customWidth="1"/>
    <col min="12734" max="12734" width="12.140625" style="473" customWidth="1"/>
    <col min="12735" max="12749" width="9" style="473" hidden="1" customWidth="1"/>
    <col min="12750" max="12976" width="9.140625" style="473" bestFit="1" customWidth="1"/>
    <col min="12977" max="12977" width="6.42578125" style="473" customWidth="1"/>
    <col min="12978" max="12978" width="6.140625" style="473" customWidth="1"/>
    <col min="12979" max="12979" width="6.7109375" style="473" customWidth="1"/>
    <col min="12980" max="12980" width="66" style="473" customWidth="1"/>
    <col min="12981" max="12983" width="10.85546875" style="473" customWidth="1"/>
    <col min="12984" max="12984" width="11.5703125" style="473" customWidth="1"/>
    <col min="12985" max="12987" width="9" style="473" hidden="1" customWidth="1"/>
    <col min="12988" max="12989" width="13.140625" style="473" customWidth="1"/>
    <col min="12990" max="12990" width="12.140625" style="473" customWidth="1"/>
    <col min="12991" max="13005" width="9" style="473" hidden="1" customWidth="1"/>
    <col min="13006" max="13232" width="9.140625" style="473" bestFit="1" customWidth="1"/>
    <col min="13233" max="13233" width="6.42578125" style="473" customWidth="1"/>
    <col min="13234" max="13234" width="6.140625" style="473" customWidth="1"/>
    <col min="13235" max="13235" width="6.7109375" style="473" customWidth="1"/>
    <col min="13236" max="13236" width="66" style="473" customWidth="1"/>
    <col min="13237" max="13239" width="10.85546875" style="473" customWidth="1"/>
    <col min="13240" max="13240" width="11.5703125" style="473" customWidth="1"/>
    <col min="13241" max="13243" width="9" style="473" hidden="1" customWidth="1"/>
    <col min="13244" max="13245" width="13.140625" style="473" customWidth="1"/>
    <col min="13246" max="13246" width="12.140625" style="473" customWidth="1"/>
    <col min="13247" max="13261" width="9" style="473" hidden="1" customWidth="1"/>
    <col min="13262" max="13488" width="9.140625" style="473" bestFit="1" customWidth="1"/>
    <col min="13489" max="13489" width="6.42578125" style="473" customWidth="1"/>
    <col min="13490" max="13490" width="6.140625" style="473" customWidth="1"/>
    <col min="13491" max="13491" width="6.7109375" style="473" customWidth="1"/>
    <col min="13492" max="13492" width="66" style="473" customWidth="1"/>
    <col min="13493" max="13495" width="10.85546875" style="473" customWidth="1"/>
    <col min="13496" max="13496" width="11.5703125" style="473" customWidth="1"/>
    <col min="13497" max="13499" width="9" style="473" hidden="1" customWidth="1"/>
    <col min="13500" max="13501" width="13.140625" style="473" customWidth="1"/>
    <col min="13502" max="13502" width="12.140625" style="473" customWidth="1"/>
    <col min="13503" max="13517" width="9" style="473" hidden="1" customWidth="1"/>
    <col min="13518" max="13744" width="9.140625" style="473" bestFit="1" customWidth="1"/>
    <col min="13745" max="13745" width="6.42578125" style="473" customWidth="1"/>
    <col min="13746" max="13746" width="6.140625" style="473" customWidth="1"/>
    <col min="13747" max="13747" width="6.7109375" style="473" customWidth="1"/>
    <col min="13748" max="13748" width="66" style="473" customWidth="1"/>
    <col min="13749" max="13751" width="10.85546875" style="473" customWidth="1"/>
    <col min="13752" max="13752" width="11.5703125" style="473" customWidth="1"/>
    <col min="13753" max="13755" width="9" style="473" hidden="1" customWidth="1"/>
    <col min="13756" max="13757" width="13.140625" style="473" customWidth="1"/>
    <col min="13758" max="13758" width="12.140625" style="473" customWidth="1"/>
    <col min="13759" max="13773" width="9" style="473" hidden="1" customWidth="1"/>
    <col min="13774" max="14000" width="9.140625" style="473" bestFit="1" customWidth="1"/>
    <col min="14001" max="14001" width="6.42578125" style="473" customWidth="1"/>
    <col min="14002" max="14002" width="6.140625" style="473" customWidth="1"/>
    <col min="14003" max="14003" width="6.7109375" style="473" customWidth="1"/>
    <col min="14004" max="14004" width="66" style="473" customWidth="1"/>
    <col min="14005" max="14007" width="10.85546875" style="473" customWidth="1"/>
    <col min="14008" max="14008" width="11.5703125" style="473" customWidth="1"/>
    <col min="14009" max="14011" width="9" style="473" hidden="1" customWidth="1"/>
    <col min="14012" max="14013" width="13.140625" style="473" customWidth="1"/>
    <col min="14014" max="14014" width="12.140625" style="473" customWidth="1"/>
    <col min="14015" max="14029" width="9" style="473" hidden="1" customWidth="1"/>
    <col min="14030" max="14256" width="9.140625" style="473" bestFit="1" customWidth="1"/>
    <col min="14257" max="14257" width="6.42578125" style="473" customWidth="1"/>
    <col min="14258" max="14258" width="6.140625" style="473" customWidth="1"/>
    <col min="14259" max="14259" width="6.7109375" style="473" customWidth="1"/>
    <col min="14260" max="14260" width="66" style="473" customWidth="1"/>
    <col min="14261" max="14263" width="10.85546875" style="473" customWidth="1"/>
    <col min="14264" max="14264" width="11.5703125" style="473" customWidth="1"/>
    <col min="14265" max="14267" width="9" style="473" hidden="1" customWidth="1"/>
    <col min="14268" max="14269" width="13.140625" style="473" customWidth="1"/>
    <col min="14270" max="14270" width="12.140625" style="473" customWidth="1"/>
    <col min="14271" max="14285" width="9" style="473" hidden="1" customWidth="1"/>
    <col min="14286" max="14512" width="9.140625" style="473" bestFit="1" customWidth="1"/>
    <col min="14513" max="14513" width="6.42578125" style="473" customWidth="1"/>
    <col min="14514" max="14514" width="6.140625" style="473" customWidth="1"/>
    <col min="14515" max="14515" width="6.7109375" style="473" customWidth="1"/>
    <col min="14516" max="14516" width="66" style="473" customWidth="1"/>
    <col min="14517" max="14519" width="10.85546875" style="473" customWidth="1"/>
    <col min="14520" max="14520" width="11.5703125" style="473" customWidth="1"/>
    <col min="14521" max="14523" width="9" style="473" hidden="1" customWidth="1"/>
    <col min="14524" max="14525" width="13.140625" style="473" customWidth="1"/>
    <col min="14526" max="14526" width="12.140625" style="473" customWidth="1"/>
    <col min="14527" max="14541" width="9" style="473" hidden="1" customWidth="1"/>
    <col min="14542" max="14768" width="9.140625" style="473" bestFit="1" customWidth="1"/>
    <col min="14769" max="14769" width="6.42578125" style="473" customWidth="1"/>
    <col min="14770" max="14770" width="6.140625" style="473" customWidth="1"/>
    <col min="14771" max="14771" width="6.7109375" style="473" customWidth="1"/>
    <col min="14772" max="14772" width="66" style="473" customWidth="1"/>
    <col min="14773" max="14775" width="10.85546875" style="473" customWidth="1"/>
    <col min="14776" max="14776" width="11.5703125" style="473" customWidth="1"/>
    <col min="14777" max="14779" width="9" style="473" hidden="1" customWidth="1"/>
    <col min="14780" max="14781" width="13.140625" style="473" customWidth="1"/>
    <col min="14782" max="14782" width="12.140625" style="473" customWidth="1"/>
    <col min="14783" max="14797" width="9" style="473" hidden="1" customWidth="1"/>
    <col min="14798" max="15024" width="9.140625" style="473" bestFit="1" customWidth="1"/>
    <col min="15025" max="15025" width="6.42578125" style="473" customWidth="1"/>
    <col min="15026" max="15026" width="6.140625" style="473" customWidth="1"/>
    <col min="15027" max="15027" width="6.7109375" style="473" customWidth="1"/>
    <col min="15028" max="15028" width="66" style="473" customWidth="1"/>
    <col min="15029" max="15031" width="10.85546875" style="473" customWidth="1"/>
    <col min="15032" max="15032" width="11.5703125" style="473" customWidth="1"/>
    <col min="15033" max="15035" width="9" style="473" hidden="1" customWidth="1"/>
    <col min="15036" max="15037" width="13.140625" style="473" customWidth="1"/>
    <col min="15038" max="15038" width="12.140625" style="473" customWidth="1"/>
    <col min="15039" max="15053" width="9" style="473" hidden="1" customWidth="1"/>
    <col min="15054" max="15280" width="9.140625" style="473" bestFit="1" customWidth="1"/>
    <col min="15281" max="15281" width="6.42578125" style="473" customWidth="1"/>
    <col min="15282" max="15282" width="6.140625" style="473" customWidth="1"/>
    <col min="15283" max="15283" width="6.7109375" style="473" customWidth="1"/>
    <col min="15284" max="15284" width="66" style="473" customWidth="1"/>
    <col min="15285" max="15287" width="10.85546875" style="473" customWidth="1"/>
    <col min="15288" max="15288" width="11.5703125" style="473" customWidth="1"/>
    <col min="15289" max="15291" width="9" style="473" hidden="1" customWidth="1"/>
    <col min="15292" max="15293" width="13.140625" style="473" customWidth="1"/>
    <col min="15294" max="15294" width="12.140625" style="473" customWidth="1"/>
    <col min="15295" max="15309" width="9" style="473" hidden="1" customWidth="1"/>
    <col min="15310" max="15536" width="9.140625" style="473" bestFit="1" customWidth="1"/>
    <col min="15537" max="15537" width="6.42578125" style="473" customWidth="1"/>
    <col min="15538" max="15538" width="6.140625" style="473" customWidth="1"/>
    <col min="15539" max="15539" width="6.7109375" style="473" customWidth="1"/>
    <col min="15540" max="15540" width="66" style="473" customWidth="1"/>
    <col min="15541" max="15543" width="10.85546875" style="473" customWidth="1"/>
    <col min="15544" max="15544" width="11.5703125" style="473" customWidth="1"/>
    <col min="15545" max="15547" width="9" style="473" hidden="1" customWidth="1"/>
    <col min="15548" max="15549" width="13.140625" style="473" customWidth="1"/>
    <col min="15550" max="15550" width="12.140625" style="473" customWidth="1"/>
    <col min="15551" max="15565" width="9" style="473" hidden="1" customWidth="1"/>
    <col min="15566" max="15792" width="9.140625" style="473" bestFit="1" customWidth="1"/>
    <col min="15793" max="15793" width="6.42578125" style="473" customWidth="1"/>
    <col min="15794" max="15794" width="6.140625" style="473" customWidth="1"/>
    <col min="15795" max="15795" width="6.7109375" style="473" customWidth="1"/>
    <col min="15796" max="15796" width="66" style="473" customWidth="1"/>
    <col min="15797" max="15799" width="10.85546875" style="473" customWidth="1"/>
    <col min="15800" max="15800" width="11.5703125" style="473" customWidth="1"/>
    <col min="15801" max="15803" width="9" style="473" hidden="1" customWidth="1"/>
    <col min="15804" max="15805" width="13.140625" style="473" customWidth="1"/>
    <col min="15806" max="15806" width="12.140625" style="473" customWidth="1"/>
    <col min="15807" max="15821" width="9" style="473" hidden="1" customWidth="1"/>
    <col min="15822" max="16048" width="9.140625" style="473" bestFit="1" customWidth="1"/>
    <col min="16049" max="16049" width="6.42578125" style="473" customWidth="1"/>
    <col min="16050" max="16050" width="6.140625" style="473" customWidth="1"/>
    <col min="16051" max="16051" width="6.7109375" style="473" customWidth="1"/>
    <col min="16052" max="16052" width="66" style="473" customWidth="1"/>
    <col min="16053" max="16055" width="10.85546875" style="473" customWidth="1"/>
    <col min="16056" max="16056" width="11.5703125" style="473" customWidth="1"/>
    <col min="16057" max="16059" width="9" style="473" hidden="1" customWidth="1"/>
    <col min="16060" max="16061" width="13.140625" style="473" customWidth="1"/>
    <col min="16062" max="16062" width="12.140625" style="473" customWidth="1"/>
    <col min="16063" max="16077" width="9" style="473" hidden="1" customWidth="1"/>
    <col min="16078" max="16343" width="9.140625" style="473" bestFit="1" customWidth="1"/>
    <col min="16344" max="16361" width="9" style="473" bestFit="1" customWidth="1"/>
    <col min="16362" max="16375" width="9.140625" style="473" bestFit="1" customWidth="1"/>
    <col min="16376" max="16384" width="9.140625" style="473"/>
  </cols>
  <sheetData>
    <row r="1" spans="1:9" x14ac:dyDescent="0.25">
      <c r="A1" s="542" t="s">
        <v>558</v>
      </c>
      <c r="B1" s="542"/>
      <c r="C1" s="542"/>
      <c r="D1" s="542"/>
      <c r="E1" s="542"/>
      <c r="F1" s="542"/>
      <c r="G1" s="542"/>
      <c r="H1" s="542"/>
      <c r="I1" s="542"/>
    </row>
    <row r="2" spans="1:9" x14ac:dyDescent="0.25">
      <c r="A2" s="542"/>
      <c r="B2" s="542"/>
      <c r="C2" s="542"/>
      <c r="D2" s="542"/>
      <c r="E2" s="542"/>
      <c r="F2" s="542"/>
      <c r="G2" s="542"/>
      <c r="H2" s="542"/>
      <c r="I2" s="542"/>
    </row>
    <row r="4" spans="1:9" ht="15" customHeight="1" x14ac:dyDescent="0.25">
      <c r="A4" s="547" t="s">
        <v>559</v>
      </c>
      <c r="B4" s="547" t="s">
        <v>37</v>
      </c>
      <c r="C4" s="549"/>
      <c r="D4" s="550"/>
      <c r="E4" s="547" t="s">
        <v>226</v>
      </c>
      <c r="F4" s="545" t="s">
        <v>560</v>
      </c>
      <c r="G4" s="546"/>
      <c r="H4" s="543" t="s">
        <v>39</v>
      </c>
      <c r="I4" s="544"/>
    </row>
    <row r="5" spans="1:9" x14ac:dyDescent="0.25">
      <c r="A5" s="548"/>
      <c r="B5" s="551"/>
      <c r="C5" s="552"/>
      <c r="D5" s="553"/>
      <c r="E5" s="548"/>
      <c r="F5" s="474" t="s">
        <v>561</v>
      </c>
      <c r="G5" s="474" t="s">
        <v>44</v>
      </c>
      <c r="H5" s="475" t="s">
        <v>562</v>
      </c>
      <c r="I5" s="475" t="s">
        <v>563</v>
      </c>
    </row>
    <row r="6" spans="1:9" ht="14.65" customHeight="1" x14ac:dyDescent="0.25">
      <c r="A6" s="476">
        <v>1</v>
      </c>
      <c r="B6" s="547">
        <v>2</v>
      </c>
      <c r="C6" s="557"/>
      <c r="D6" s="558"/>
      <c r="E6" s="476">
        <v>3</v>
      </c>
      <c r="F6" s="477">
        <v>4</v>
      </c>
      <c r="G6" s="477">
        <v>5</v>
      </c>
      <c r="H6" s="477">
        <v>6</v>
      </c>
      <c r="I6" s="477">
        <v>7</v>
      </c>
    </row>
    <row r="7" spans="1:9" ht="27.75" customHeight="1" x14ac:dyDescent="0.25">
      <c r="A7" s="547">
        <v>1</v>
      </c>
      <c r="B7" s="559" t="s">
        <v>564</v>
      </c>
      <c r="C7" s="560"/>
      <c r="D7" s="561"/>
      <c r="E7" s="476"/>
      <c r="F7" s="478"/>
      <c r="G7" s="478"/>
      <c r="H7" s="478"/>
      <c r="I7" s="478"/>
    </row>
    <row r="8" spans="1:9" ht="23.25" customHeight="1" x14ac:dyDescent="0.25">
      <c r="A8" s="556"/>
      <c r="B8" s="547" t="s">
        <v>51</v>
      </c>
      <c r="C8" s="554" t="s">
        <v>228</v>
      </c>
      <c r="D8" s="555"/>
      <c r="E8" s="476" t="s">
        <v>229</v>
      </c>
      <c r="F8" s="479">
        <v>0</v>
      </c>
      <c r="G8" s="479">
        <v>5879.7</v>
      </c>
      <c r="H8" s="479">
        <v>5879.7</v>
      </c>
      <c r="I8" s="479">
        <v>5879.7</v>
      </c>
    </row>
    <row r="9" spans="1:9" ht="21.75" customHeight="1" x14ac:dyDescent="0.25">
      <c r="A9" s="556"/>
      <c r="B9" s="556"/>
      <c r="C9" s="480" t="s">
        <v>52</v>
      </c>
      <c r="D9" s="480" t="s">
        <v>230</v>
      </c>
      <c r="E9" s="476" t="s">
        <v>229</v>
      </c>
      <c r="F9" s="479">
        <v>0</v>
      </c>
      <c r="G9" s="479">
        <v>5439.7</v>
      </c>
      <c r="H9" s="479">
        <v>5439.7</v>
      </c>
      <c r="I9" s="479">
        <v>5439.7</v>
      </c>
    </row>
    <row r="10" spans="1:9" ht="21" customHeight="1" x14ac:dyDescent="0.25">
      <c r="A10" s="556"/>
      <c r="B10" s="556"/>
      <c r="C10" s="480" t="s">
        <v>54</v>
      </c>
      <c r="D10" s="481" t="s">
        <v>231</v>
      </c>
      <c r="E10" s="476" t="s">
        <v>229</v>
      </c>
      <c r="F10" s="479">
        <v>0</v>
      </c>
      <c r="G10" s="479">
        <v>340</v>
      </c>
      <c r="H10" s="479">
        <v>340</v>
      </c>
      <c r="I10" s="479">
        <v>340</v>
      </c>
    </row>
    <row r="11" spans="1:9" ht="21" customHeight="1" x14ac:dyDescent="0.25">
      <c r="A11" s="556"/>
      <c r="B11" s="548"/>
      <c r="C11" s="480" t="s">
        <v>56</v>
      </c>
      <c r="D11" s="482" t="s">
        <v>232</v>
      </c>
      <c r="E11" s="476" t="s">
        <v>229</v>
      </c>
      <c r="F11" s="479">
        <v>0</v>
      </c>
      <c r="G11" s="483">
        <v>100</v>
      </c>
      <c r="H11" s="483">
        <v>100</v>
      </c>
      <c r="I11" s="483">
        <v>100</v>
      </c>
    </row>
    <row r="12" spans="1:9" ht="29.25" customHeight="1" x14ac:dyDescent="0.25">
      <c r="A12" s="556"/>
      <c r="B12" s="539" t="s">
        <v>58</v>
      </c>
      <c r="C12" s="554" t="s">
        <v>233</v>
      </c>
      <c r="D12" s="555"/>
      <c r="E12" s="476" t="s">
        <v>234</v>
      </c>
      <c r="F12" s="479">
        <v>1333.72</v>
      </c>
      <c r="G12" s="479">
        <v>1333.72</v>
      </c>
      <c r="H12" s="479">
        <v>1333.72</v>
      </c>
      <c r="I12" s="479">
        <v>1333.72</v>
      </c>
    </row>
    <row r="13" spans="1:9" ht="29.25" customHeight="1" x14ac:dyDescent="0.25">
      <c r="A13" s="540"/>
      <c r="B13" s="540"/>
      <c r="C13" s="480" t="s">
        <v>1355</v>
      </c>
      <c r="D13" s="484" t="s">
        <v>1359</v>
      </c>
      <c r="E13" s="476" t="s">
        <v>234</v>
      </c>
      <c r="F13" s="479">
        <v>1333.72</v>
      </c>
      <c r="G13" s="479">
        <v>1333.72</v>
      </c>
      <c r="H13" s="479">
        <v>1333.72</v>
      </c>
      <c r="I13" s="479">
        <v>1333.72</v>
      </c>
    </row>
    <row r="14" spans="1:9" ht="29.25" customHeight="1" x14ac:dyDescent="0.25">
      <c r="A14" s="540"/>
      <c r="B14" s="541"/>
      <c r="C14" s="480" t="s">
        <v>1356</v>
      </c>
      <c r="D14" s="484" t="s">
        <v>1360</v>
      </c>
      <c r="E14" s="476" t="s">
        <v>229</v>
      </c>
      <c r="F14" s="479">
        <v>1234.5</v>
      </c>
      <c r="G14" s="479">
        <v>2469</v>
      </c>
      <c r="H14" s="479">
        <v>2469</v>
      </c>
      <c r="I14" s="479">
        <v>2469</v>
      </c>
    </row>
    <row r="15" spans="1:9" ht="27.75" customHeight="1" x14ac:dyDescent="0.25">
      <c r="A15" s="556"/>
      <c r="B15" s="539" t="s">
        <v>89</v>
      </c>
      <c r="C15" s="554" t="s">
        <v>235</v>
      </c>
      <c r="D15" s="555"/>
      <c r="E15" s="485"/>
      <c r="F15" s="479"/>
      <c r="G15" s="479"/>
      <c r="H15" s="479"/>
      <c r="I15" s="479"/>
    </row>
    <row r="16" spans="1:9" ht="30" x14ac:dyDescent="0.25">
      <c r="A16" s="556"/>
      <c r="B16" s="556"/>
      <c r="C16" s="480" t="s">
        <v>236</v>
      </c>
      <c r="D16" s="481" t="s">
        <v>237</v>
      </c>
      <c r="E16" s="486" t="s">
        <v>565</v>
      </c>
      <c r="F16" s="479">
        <v>8054</v>
      </c>
      <c r="G16" s="479">
        <v>16152</v>
      </c>
      <c r="H16" s="479">
        <v>16152</v>
      </c>
      <c r="I16" s="479">
        <v>16152</v>
      </c>
    </row>
    <row r="17" spans="1:9" ht="23.25" customHeight="1" x14ac:dyDescent="0.25">
      <c r="A17" s="556"/>
      <c r="B17" s="556"/>
      <c r="C17" s="480" t="s">
        <v>239</v>
      </c>
      <c r="D17" s="481" t="s">
        <v>240</v>
      </c>
      <c r="E17" s="486" t="s">
        <v>241</v>
      </c>
      <c r="F17" s="479">
        <v>1089</v>
      </c>
      <c r="G17" s="479">
        <v>2108</v>
      </c>
      <c r="H17" s="479">
        <v>2108</v>
      </c>
      <c r="I17" s="479">
        <v>2108</v>
      </c>
    </row>
    <row r="18" spans="1:9" ht="23.25" customHeight="1" x14ac:dyDescent="0.25">
      <c r="A18" s="556"/>
      <c r="B18" s="556"/>
      <c r="C18" s="480" t="s">
        <v>566</v>
      </c>
      <c r="D18" s="481" t="s">
        <v>567</v>
      </c>
      <c r="E18" s="486" t="s">
        <v>568</v>
      </c>
      <c r="F18" s="479">
        <v>1291</v>
      </c>
      <c r="G18" s="479">
        <v>3266</v>
      </c>
      <c r="H18" s="479">
        <v>3266</v>
      </c>
      <c r="I18" s="479">
        <v>3266</v>
      </c>
    </row>
    <row r="19" spans="1:9" ht="23.25" customHeight="1" x14ac:dyDescent="0.25">
      <c r="A19" s="556"/>
      <c r="B19" s="563"/>
      <c r="C19" s="482" t="s">
        <v>569</v>
      </c>
      <c r="D19" s="482" t="s">
        <v>570</v>
      </c>
      <c r="E19" s="486" t="s">
        <v>568</v>
      </c>
      <c r="F19" s="479">
        <v>21548</v>
      </c>
      <c r="G19" s="479">
        <v>44528</v>
      </c>
      <c r="H19" s="479">
        <v>44528</v>
      </c>
      <c r="I19" s="479">
        <v>44528</v>
      </c>
    </row>
    <row r="20" spans="1:9" ht="28.5" customHeight="1" x14ac:dyDescent="0.25">
      <c r="A20" s="548"/>
      <c r="B20" s="476" t="s">
        <v>91</v>
      </c>
      <c r="C20" s="554" t="s">
        <v>571</v>
      </c>
      <c r="D20" s="555"/>
      <c r="E20" s="486" t="s">
        <v>572</v>
      </c>
      <c r="F20" s="479">
        <v>0</v>
      </c>
      <c r="G20" s="479">
        <v>70450</v>
      </c>
      <c r="H20" s="479">
        <v>70450</v>
      </c>
      <c r="I20" s="479">
        <v>70450</v>
      </c>
    </row>
    <row r="21" spans="1:9" ht="22.5" customHeight="1" x14ac:dyDescent="0.25">
      <c r="A21" s="547">
        <v>2</v>
      </c>
      <c r="B21" s="554" t="s">
        <v>573</v>
      </c>
      <c r="C21" s="562"/>
      <c r="D21" s="555"/>
      <c r="E21" s="476" t="s">
        <v>243</v>
      </c>
      <c r="F21" s="479">
        <v>50532.735700000005</v>
      </c>
      <c r="G21" s="479">
        <v>386815.75329999998</v>
      </c>
      <c r="H21" s="479">
        <v>403815.83024520002</v>
      </c>
      <c r="I21" s="479">
        <v>419968.46345500799</v>
      </c>
    </row>
    <row r="22" spans="1:9" ht="23.25" customHeight="1" x14ac:dyDescent="0.25">
      <c r="A22" s="556"/>
      <c r="B22" s="547" t="s">
        <v>100</v>
      </c>
      <c r="C22" s="554" t="s">
        <v>228</v>
      </c>
      <c r="D22" s="555"/>
      <c r="E22" s="476" t="s">
        <v>243</v>
      </c>
      <c r="F22" s="479">
        <v>0</v>
      </c>
      <c r="G22" s="479">
        <v>274683.28999999998</v>
      </c>
      <c r="H22" s="479">
        <v>286769.35476000002</v>
      </c>
      <c r="I22" s="479">
        <v>298240.12895039999</v>
      </c>
    </row>
    <row r="23" spans="1:9" ht="23.25" customHeight="1" x14ac:dyDescent="0.25">
      <c r="A23" s="556"/>
      <c r="B23" s="556"/>
      <c r="C23" s="487" t="s">
        <v>244</v>
      </c>
      <c r="D23" s="481" t="s">
        <v>53</v>
      </c>
      <c r="E23" s="476" t="s">
        <v>243</v>
      </c>
      <c r="F23" s="479">
        <v>0</v>
      </c>
      <c r="G23" s="483">
        <v>208375.09</v>
      </c>
      <c r="H23" s="483">
        <v>217543.59396</v>
      </c>
      <c r="I23" s="483">
        <v>226245.3377184</v>
      </c>
    </row>
    <row r="24" spans="1:9" ht="23.25" customHeight="1" x14ac:dyDescent="0.25">
      <c r="A24" s="556"/>
      <c r="B24" s="556"/>
      <c r="C24" s="480" t="s">
        <v>246</v>
      </c>
      <c r="D24" s="481" t="s">
        <v>55</v>
      </c>
      <c r="E24" s="476" t="s">
        <v>243</v>
      </c>
      <c r="F24" s="479">
        <v>0</v>
      </c>
      <c r="G24" s="483">
        <v>63955</v>
      </c>
      <c r="H24" s="483">
        <v>66769.02</v>
      </c>
      <c r="I24" s="483">
        <v>69439.780800000008</v>
      </c>
    </row>
    <row r="25" spans="1:9" ht="23.25" customHeight="1" x14ac:dyDescent="0.25">
      <c r="A25" s="556"/>
      <c r="B25" s="548"/>
      <c r="C25" s="480" t="s">
        <v>247</v>
      </c>
      <c r="D25" s="482" t="s">
        <v>57</v>
      </c>
      <c r="E25" s="476" t="s">
        <v>243</v>
      </c>
      <c r="F25" s="479">
        <v>0</v>
      </c>
      <c r="G25" s="483">
        <v>2353.1999999999998</v>
      </c>
      <c r="H25" s="483">
        <v>2456.7408</v>
      </c>
      <c r="I25" s="483">
        <v>2555.010432</v>
      </c>
    </row>
    <row r="26" spans="1:9" ht="28.5" customHeight="1" x14ac:dyDescent="0.25">
      <c r="A26" s="556"/>
      <c r="B26" s="539" t="s">
        <v>102</v>
      </c>
      <c r="C26" s="554" t="s">
        <v>233</v>
      </c>
      <c r="D26" s="555"/>
      <c r="E26" s="476" t="s">
        <v>243</v>
      </c>
      <c r="F26" s="479">
        <v>5818.6651999999995</v>
      </c>
      <c r="G26" s="479">
        <v>11428.7678</v>
      </c>
      <c r="H26" s="479">
        <v>11931.6335832</v>
      </c>
      <c r="I26" s="479">
        <v>12408.898926528</v>
      </c>
    </row>
    <row r="27" spans="1:9" ht="28.5" customHeight="1" x14ac:dyDescent="0.25">
      <c r="A27" s="540"/>
      <c r="B27" s="540"/>
      <c r="C27" s="480" t="s">
        <v>1357</v>
      </c>
      <c r="D27" s="484" t="s">
        <v>1359</v>
      </c>
      <c r="E27" s="476" t="s">
        <v>243</v>
      </c>
      <c r="F27" s="479">
        <v>3898.6241999999997</v>
      </c>
      <c r="G27" s="479">
        <v>7588.6787999999997</v>
      </c>
      <c r="H27" s="479">
        <v>7922.5806671999999</v>
      </c>
      <c r="I27" s="479">
        <v>8239.4838938880002</v>
      </c>
    </row>
    <row r="28" spans="1:9" ht="28.5" customHeight="1" x14ac:dyDescent="0.25">
      <c r="A28" s="540"/>
      <c r="B28" s="541"/>
      <c r="C28" s="480" t="s">
        <v>1358</v>
      </c>
      <c r="D28" s="484" t="s">
        <v>1360</v>
      </c>
      <c r="E28" s="476" t="s">
        <v>243</v>
      </c>
      <c r="F28" s="479">
        <v>1920.0410000000002</v>
      </c>
      <c r="G28" s="479">
        <v>3840.0889999999999</v>
      </c>
      <c r="H28" s="479">
        <v>4009.0529160000001</v>
      </c>
      <c r="I28" s="479">
        <v>4169.4150326400004</v>
      </c>
    </row>
    <row r="29" spans="1:9" ht="27.75" customHeight="1" x14ac:dyDescent="0.25">
      <c r="A29" s="556"/>
      <c r="B29" s="547" t="s">
        <v>103</v>
      </c>
      <c r="C29" s="554" t="s">
        <v>235</v>
      </c>
      <c r="D29" s="555"/>
      <c r="E29" s="476" t="s">
        <v>243</v>
      </c>
      <c r="F29" s="479">
        <v>44714.070500000002</v>
      </c>
      <c r="G29" s="479">
        <v>94098.295500000007</v>
      </c>
      <c r="H29" s="479">
        <v>98238.620502000005</v>
      </c>
      <c r="I29" s="479">
        <v>102168.16532208001</v>
      </c>
    </row>
    <row r="30" spans="1:9" ht="23.25" customHeight="1" x14ac:dyDescent="0.25">
      <c r="A30" s="556"/>
      <c r="B30" s="556"/>
      <c r="C30" s="480" t="s">
        <v>253</v>
      </c>
      <c r="D30" s="482" t="s">
        <v>237</v>
      </c>
      <c r="E30" s="476" t="s">
        <v>243</v>
      </c>
      <c r="F30" s="483">
        <v>28032.700500000003</v>
      </c>
      <c r="G30" s="479">
        <v>58855.765500000001</v>
      </c>
      <c r="H30" s="479">
        <v>61445.419182000005</v>
      </c>
      <c r="I30" s="479">
        <v>63903.23594928001</v>
      </c>
    </row>
    <row r="31" spans="1:9" ht="23.25" customHeight="1" x14ac:dyDescent="0.25">
      <c r="A31" s="556"/>
      <c r="B31" s="556"/>
      <c r="C31" s="480" t="s">
        <v>254</v>
      </c>
      <c r="D31" s="482" t="s">
        <v>240</v>
      </c>
      <c r="E31" s="476" t="s">
        <v>243</v>
      </c>
      <c r="F31" s="483">
        <v>1998.38</v>
      </c>
      <c r="G31" s="483">
        <v>4063.84</v>
      </c>
      <c r="H31" s="479">
        <v>4242.6489600000004</v>
      </c>
      <c r="I31" s="479">
        <v>4412.3549184000003</v>
      </c>
    </row>
    <row r="32" spans="1:9" ht="23.25" customHeight="1" x14ac:dyDescent="0.25">
      <c r="A32" s="556"/>
      <c r="B32" s="556"/>
      <c r="C32" s="488" t="s">
        <v>574</v>
      </c>
      <c r="D32" s="481" t="s">
        <v>567</v>
      </c>
      <c r="E32" s="476" t="s">
        <v>243</v>
      </c>
      <c r="F32" s="483">
        <v>578.72</v>
      </c>
      <c r="G32" s="483">
        <v>1552.64</v>
      </c>
      <c r="H32" s="479">
        <v>1620.9561600000002</v>
      </c>
      <c r="I32" s="479">
        <v>1685.7944064000003</v>
      </c>
    </row>
    <row r="33" spans="1:9" ht="23.25" customHeight="1" x14ac:dyDescent="0.25">
      <c r="A33" s="556"/>
      <c r="B33" s="548"/>
      <c r="C33" s="482" t="s">
        <v>575</v>
      </c>
      <c r="D33" s="482" t="s">
        <v>570</v>
      </c>
      <c r="E33" s="476" t="s">
        <v>243</v>
      </c>
      <c r="F33" s="483">
        <v>14104.27</v>
      </c>
      <c r="G33" s="483">
        <v>29626.05</v>
      </c>
      <c r="H33" s="479">
        <v>30929.5962</v>
      </c>
      <c r="I33" s="479">
        <v>32166.780048000001</v>
      </c>
    </row>
    <row r="34" spans="1:9" ht="29.65" customHeight="1" x14ac:dyDescent="0.25">
      <c r="A34" s="548"/>
      <c r="B34" s="476" t="s">
        <v>291</v>
      </c>
      <c r="C34" s="554" t="s">
        <v>571</v>
      </c>
      <c r="D34" s="555"/>
      <c r="E34" s="476" t="s">
        <v>243</v>
      </c>
      <c r="F34" s="479">
        <v>0</v>
      </c>
      <c r="G34" s="479">
        <v>6605.4</v>
      </c>
      <c r="H34" s="479">
        <v>6876.2213999999994</v>
      </c>
      <c r="I34" s="479">
        <v>7151.2702559999998</v>
      </c>
    </row>
    <row r="35" spans="1:9" ht="27.75" customHeight="1" x14ac:dyDescent="0.25">
      <c r="A35" s="547">
        <v>3</v>
      </c>
      <c r="B35" s="554" t="s">
        <v>576</v>
      </c>
      <c r="C35" s="562"/>
      <c r="D35" s="555"/>
      <c r="E35" s="476" t="s">
        <v>243</v>
      </c>
      <c r="F35" s="479">
        <v>99624.76</v>
      </c>
      <c r="G35" s="479">
        <v>381793.52</v>
      </c>
      <c r="H35" s="479">
        <v>394779.28</v>
      </c>
      <c r="I35" s="479">
        <v>410545.08</v>
      </c>
    </row>
    <row r="36" spans="1:9" ht="23.25" customHeight="1" x14ac:dyDescent="0.25">
      <c r="A36" s="556"/>
      <c r="B36" s="476" t="s">
        <v>62</v>
      </c>
      <c r="C36" s="554" t="s">
        <v>13</v>
      </c>
      <c r="D36" s="555"/>
      <c r="E36" s="476" t="s">
        <v>243</v>
      </c>
      <c r="F36" s="479">
        <v>57367.68</v>
      </c>
      <c r="G36" s="489">
        <v>292938.59000000003</v>
      </c>
      <c r="H36" s="479">
        <v>301189.17</v>
      </c>
      <c r="I36" s="479">
        <v>312355.06</v>
      </c>
    </row>
    <row r="37" spans="1:9" ht="23.25" customHeight="1" x14ac:dyDescent="0.25">
      <c r="A37" s="556"/>
      <c r="B37" s="476" t="s">
        <v>64</v>
      </c>
      <c r="C37" s="554" t="s">
        <v>256</v>
      </c>
      <c r="D37" s="555"/>
      <c r="E37" s="476" t="s">
        <v>243</v>
      </c>
      <c r="F37" s="479">
        <v>929.38</v>
      </c>
      <c r="G37" s="479">
        <v>928.17</v>
      </c>
      <c r="H37" s="479">
        <v>962.88</v>
      </c>
      <c r="I37" s="479">
        <v>1021.12</v>
      </c>
    </row>
    <row r="38" spans="1:9" ht="23.25" customHeight="1" x14ac:dyDescent="0.25">
      <c r="A38" s="556"/>
      <c r="B38" s="476" t="s">
        <v>122</v>
      </c>
      <c r="C38" s="554" t="s">
        <v>59</v>
      </c>
      <c r="D38" s="555"/>
      <c r="E38" s="476" t="s">
        <v>243</v>
      </c>
      <c r="F38" s="479">
        <v>41131.279999999999</v>
      </c>
      <c r="G38" s="479">
        <v>81829.41</v>
      </c>
      <c r="H38" s="479">
        <v>86329.919999999998</v>
      </c>
      <c r="I38" s="479">
        <v>90667.86</v>
      </c>
    </row>
    <row r="39" spans="1:9" ht="28.5" customHeight="1" x14ac:dyDescent="0.25">
      <c r="A39" s="548"/>
      <c r="B39" s="476" t="s">
        <v>124</v>
      </c>
      <c r="C39" s="554" t="s">
        <v>571</v>
      </c>
      <c r="D39" s="555"/>
      <c r="E39" s="476" t="s">
        <v>243</v>
      </c>
      <c r="F39" s="479">
        <v>196.42</v>
      </c>
      <c r="G39" s="479">
        <v>6097.35</v>
      </c>
      <c r="H39" s="479">
        <v>6297.31</v>
      </c>
      <c r="I39" s="479">
        <v>6501.04</v>
      </c>
    </row>
    <row r="40" spans="1:9" ht="23.25" customHeight="1" x14ac:dyDescent="0.25">
      <c r="A40" s="490">
        <v>4</v>
      </c>
      <c r="B40" s="554" t="s">
        <v>257</v>
      </c>
      <c r="C40" s="562"/>
      <c r="D40" s="555"/>
      <c r="E40" s="476" t="s">
        <v>243</v>
      </c>
      <c r="F40" s="479">
        <v>-49092.02429999999</v>
      </c>
      <c r="G40" s="479">
        <v>5022.2332999999635</v>
      </c>
      <c r="H40" s="479">
        <v>9036.5502451999928</v>
      </c>
      <c r="I40" s="479">
        <v>9423.3834550079773</v>
      </c>
    </row>
    <row r="41" spans="1:9" ht="23.25" customHeight="1" x14ac:dyDescent="0.25">
      <c r="A41" s="476">
        <v>5</v>
      </c>
      <c r="B41" s="554" t="s">
        <v>258</v>
      </c>
      <c r="C41" s="562"/>
      <c r="D41" s="555"/>
      <c r="E41" s="476" t="s">
        <v>243</v>
      </c>
      <c r="F41" s="479"/>
      <c r="G41" s="479"/>
      <c r="H41" s="479"/>
      <c r="I41" s="479"/>
    </row>
    <row r="42" spans="1:9" ht="23.25" customHeight="1" x14ac:dyDescent="0.25">
      <c r="A42" s="490">
        <v>6</v>
      </c>
      <c r="B42" s="554" t="s">
        <v>259</v>
      </c>
      <c r="C42" s="562"/>
      <c r="D42" s="555"/>
      <c r="E42" s="476" t="s">
        <v>243</v>
      </c>
      <c r="F42" s="479">
        <v>-49092.02429999999</v>
      </c>
      <c r="G42" s="479">
        <v>5022.2332999999635</v>
      </c>
      <c r="H42" s="479">
        <v>9036.5502451999928</v>
      </c>
      <c r="I42" s="479">
        <v>9423.3834550079773</v>
      </c>
    </row>
    <row r="43" spans="1:9" ht="23.25" customHeight="1" x14ac:dyDescent="0.25">
      <c r="A43" s="490">
        <v>7</v>
      </c>
      <c r="B43" s="554" t="s">
        <v>260</v>
      </c>
      <c r="C43" s="562"/>
      <c r="D43" s="555"/>
      <c r="E43" s="476" t="s">
        <v>243</v>
      </c>
      <c r="F43" s="479">
        <v>885.91</v>
      </c>
      <c r="G43" s="479">
        <v>22223.43</v>
      </c>
      <c r="H43" s="479">
        <v>1775.9</v>
      </c>
      <c r="I43" s="479">
        <v>1779.76</v>
      </c>
    </row>
    <row r="44" spans="1:9" ht="23.25" customHeight="1" x14ac:dyDescent="0.25">
      <c r="A44" s="476">
        <v>8</v>
      </c>
      <c r="B44" s="554" t="s">
        <v>262</v>
      </c>
      <c r="C44" s="562"/>
      <c r="D44" s="555"/>
      <c r="E44" s="476" t="s">
        <v>243</v>
      </c>
      <c r="F44" s="479">
        <v>3207.13</v>
      </c>
      <c r="G44" s="479">
        <v>24608.35</v>
      </c>
      <c r="H44" s="479">
        <v>7782.5</v>
      </c>
      <c r="I44" s="479">
        <v>7472.15</v>
      </c>
    </row>
    <row r="45" spans="1:9" ht="23.25" customHeight="1" x14ac:dyDescent="0.25">
      <c r="A45" s="490">
        <v>9</v>
      </c>
      <c r="B45" s="554" t="s">
        <v>267</v>
      </c>
      <c r="C45" s="562"/>
      <c r="D45" s="555"/>
      <c r="E45" s="476" t="s">
        <v>243</v>
      </c>
      <c r="F45" s="479">
        <v>-51413.244299999984</v>
      </c>
      <c r="G45" s="479">
        <v>2637.3132999999652</v>
      </c>
      <c r="H45" s="479">
        <v>3029.9502451999924</v>
      </c>
      <c r="I45" s="479">
        <v>3730.9934550079779</v>
      </c>
    </row>
    <row r="46" spans="1:9" ht="23.25" customHeight="1" x14ac:dyDescent="0.25">
      <c r="A46" s="490">
        <v>10</v>
      </c>
      <c r="B46" s="554" t="s">
        <v>268</v>
      </c>
      <c r="C46" s="562"/>
      <c r="D46" s="555"/>
      <c r="E46" s="476" t="s">
        <v>243</v>
      </c>
      <c r="F46" s="479"/>
      <c r="G46" s="479">
        <v>527.46265999999309</v>
      </c>
      <c r="H46" s="479">
        <v>605.99004903999855</v>
      </c>
      <c r="I46" s="479">
        <v>746.19869100159565</v>
      </c>
    </row>
    <row r="47" spans="1:9" ht="23.25" customHeight="1" x14ac:dyDescent="0.25">
      <c r="A47" s="490">
        <v>11</v>
      </c>
      <c r="B47" s="554" t="s">
        <v>269</v>
      </c>
      <c r="C47" s="562"/>
      <c r="D47" s="555"/>
      <c r="E47" s="476" t="s">
        <v>243</v>
      </c>
      <c r="F47" s="479"/>
      <c r="G47" s="479">
        <v>2109.8506399999724</v>
      </c>
      <c r="H47" s="479">
        <v>2423.9601961599938</v>
      </c>
      <c r="I47" s="479">
        <v>2984.7947640063821</v>
      </c>
    </row>
    <row r="48" spans="1:9" ht="23.25" customHeight="1" x14ac:dyDescent="0.25">
      <c r="A48" s="476">
        <v>12</v>
      </c>
      <c r="B48" s="554" t="s">
        <v>170</v>
      </c>
      <c r="C48" s="562"/>
      <c r="D48" s="555"/>
      <c r="E48" s="476" t="s">
        <v>243</v>
      </c>
      <c r="F48" s="479"/>
      <c r="G48" s="479">
        <v>105.49253199999862</v>
      </c>
      <c r="H48" s="479">
        <v>121.1980098079997</v>
      </c>
      <c r="I48" s="479">
        <v>149.23973820031912</v>
      </c>
    </row>
    <row r="49" spans="1:9" ht="23.25" customHeight="1" x14ac:dyDescent="0.25">
      <c r="A49" s="476">
        <v>13</v>
      </c>
      <c r="B49" s="554" t="s">
        <v>577</v>
      </c>
      <c r="C49" s="562"/>
      <c r="D49" s="555"/>
      <c r="E49" s="476" t="s">
        <v>243</v>
      </c>
      <c r="F49" s="479"/>
      <c r="G49" s="479">
        <v>2004.3581079999738</v>
      </c>
      <c r="H49" s="479">
        <v>2302.7621863519939</v>
      </c>
      <c r="I49" s="479">
        <v>2835.5450258060628</v>
      </c>
    </row>
    <row r="62" spans="1:9" x14ac:dyDescent="0.25">
      <c r="C62" s="473" t="s">
        <v>326</v>
      </c>
    </row>
  </sheetData>
  <mergeCells count="42">
    <mergeCell ref="B44:D44"/>
    <mergeCell ref="B43:D43"/>
    <mergeCell ref="B42:D42"/>
    <mergeCell ref="B41:D41"/>
    <mergeCell ref="B40:D40"/>
    <mergeCell ref="B49:D49"/>
    <mergeCell ref="B48:D48"/>
    <mergeCell ref="B47:D47"/>
    <mergeCell ref="B46:D46"/>
    <mergeCell ref="B45:D45"/>
    <mergeCell ref="C26:D26"/>
    <mergeCell ref="C29:D29"/>
    <mergeCell ref="A35:A39"/>
    <mergeCell ref="A21:A34"/>
    <mergeCell ref="A7:A20"/>
    <mergeCell ref="B29:B33"/>
    <mergeCell ref="C37:D37"/>
    <mergeCell ref="C36:D36"/>
    <mergeCell ref="B35:D35"/>
    <mergeCell ref="C34:D34"/>
    <mergeCell ref="C38:D38"/>
    <mergeCell ref="C39:D39"/>
    <mergeCell ref="C15:D15"/>
    <mergeCell ref="B15:B19"/>
    <mergeCell ref="C20:D20"/>
    <mergeCell ref="B21:D21"/>
    <mergeCell ref="B26:B28"/>
    <mergeCell ref="A1:I1"/>
    <mergeCell ref="A2:I2"/>
    <mergeCell ref="H4:I4"/>
    <mergeCell ref="F4:G4"/>
    <mergeCell ref="E4:E5"/>
    <mergeCell ref="A4:A5"/>
    <mergeCell ref="B4:D5"/>
    <mergeCell ref="C22:D22"/>
    <mergeCell ref="B22:B25"/>
    <mergeCell ref="B6:D6"/>
    <mergeCell ref="B7:D7"/>
    <mergeCell ref="C8:D8"/>
    <mergeCell ref="B8:B11"/>
    <mergeCell ref="C12:D12"/>
    <mergeCell ref="B12:B14"/>
  </mergeCells>
  <pageMargins left="0.25" right="0.25" top="0.75" bottom="0.75" header="0.30000001192092901" footer="0.30000001192092901"/>
  <pageSetup paperSize="9" scale="65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UM96"/>
  <sheetViews>
    <sheetView zoomScale="85" zoomScaleNormal="85" workbookViewId="0">
      <pane xSplit="4" ySplit="7" topLeftCell="E14" activePane="bottomRight" state="frozen"/>
      <selection pane="topRight"/>
      <selection pane="bottomLeft"/>
      <selection pane="bottomRight" activeCell="I9" sqref="I9"/>
    </sheetView>
  </sheetViews>
  <sheetFormatPr defaultColWidth="9.140625" defaultRowHeight="15" x14ac:dyDescent="0.25"/>
  <cols>
    <col min="1" max="1" width="6.7109375" style="95" customWidth="1"/>
    <col min="2" max="2" width="7.7109375" style="95" customWidth="1"/>
    <col min="3" max="3" width="56.140625" style="95" customWidth="1"/>
    <col min="4" max="4" width="10.42578125" style="95" customWidth="1"/>
    <col min="5" max="5" width="12" style="95" customWidth="1"/>
    <col min="6" max="6" width="10.85546875" style="95" customWidth="1"/>
    <col min="7" max="8" width="12.7109375" style="95" customWidth="1"/>
    <col min="9" max="200" width="9.140625" style="95" bestFit="1" customWidth="1"/>
    <col min="201" max="201" width="6.7109375" style="95" customWidth="1"/>
    <col min="202" max="202" width="7.7109375" style="95" customWidth="1"/>
    <col min="203" max="203" width="56.140625" style="95" customWidth="1"/>
    <col min="204" max="206" width="10.42578125" style="95" customWidth="1"/>
    <col min="207" max="207" width="12.140625" style="95" customWidth="1"/>
    <col min="208" max="210" width="9" style="95" hidden="1" customWidth="1"/>
    <col min="211" max="211" width="11.85546875" style="95" customWidth="1"/>
    <col min="212" max="212" width="12" style="95" customWidth="1"/>
    <col min="213" max="213" width="12.140625" style="95" customWidth="1"/>
    <col min="214" max="235" width="9" style="95" hidden="1" customWidth="1"/>
    <col min="236" max="246" width="9.140625" style="95" customWidth="1"/>
    <col min="247" max="456" width="9.140625" style="95" bestFit="1" customWidth="1"/>
    <col min="457" max="457" width="6.7109375" style="95" customWidth="1"/>
    <col min="458" max="458" width="7.7109375" style="95" customWidth="1"/>
    <col min="459" max="459" width="56.140625" style="95" customWidth="1"/>
    <col min="460" max="462" width="10.42578125" style="95" customWidth="1"/>
    <col min="463" max="463" width="12.140625" style="95" customWidth="1"/>
    <col min="464" max="466" width="9" style="95" hidden="1" customWidth="1"/>
    <col min="467" max="467" width="11.85546875" style="95" customWidth="1"/>
    <col min="468" max="468" width="12" style="95" customWidth="1"/>
    <col min="469" max="469" width="12.140625" style="95" customWidth="1"/>
    <col min="470" max="491" width="9" style="95" hidden="1" customWidth="1"/>
    <col min="492" max="502" width="9.140625" style="95" customWidth="1"/>
    <col min="503" max="712" width="9.140625" style="95" bestFit="1" customWidth="1"/>
    <col min="713" max="713" width="6.7109375" style="95" customWidth="1"/>
    <col min="714" max="714" width="7.7109375" style="95" customWidth="1"/>
    <col min="715" max="715" width="56.140625" style="95" customWidth="1"/>
    <col min="716" max="718" width="10.42578125" style="95" customWidth="1"/>
    <col min="719" max="719" width="12.140625" style="95" customWidth="1"/>
    <col min="720" max="722" width="9" style="95" hidden="1" customWidth="1"/>
    <col min="723" max="723" width="11.85546875" style="95" customWidth="1"/>
    <col min="724" max="724" width="12" style="95" customWidth="1"/>
    <col min="725" max="725" width="12.140625" style="95" customWidth="1"/>
    <col min="726" max="747" width="9" style="95" hidden="1" customWidth="1"/>
    <col min="748" max="758" width="9.140625" style="95" customWidth="1"/>
    <col min="759" max="968" width="9.140625" style="95" bestFit="1" customWidth="1"/>
    <col min="969" max="969" width="6.7109375" style="95" customWidth="1"/>
    <col min="970" max="970" width="7.7109375" style="95" customWidth="1"/>
    <col min="971" max="971" width="56.140625" style="95" customWidth="1"/>
    <col min="972" max="974" width="10.42578125" style="95" customWidth="1"/>
    <col min="975" max="975" width="12.140625" style="95" customWidth="1"/>
    <col min="976" max="978" width="9" style="95" hidden="1" customWidth="1"/>
    <col min="979" max="979" width="11.85546875" style="95" customWidth="1"/>
    <col min="980" max="980" width="12" style="95" customWidth="1"/>
    <col min="981" max="981" width="12.140625" style="95" customWidth="1"/>
    <col min="982" max="1003" width="9" style="95" hidden="1" customWidth="1"/>
    <col min="1004" max="1014" width="9.140625" style="95" customWidth="1"/>
    <col min="1015" max="1224" width="9.140625" style="95" bestFit="1" customWidth="1"/>
    <col min="1225" max="1225" width="6.7109375" style="95" customWidth="1"/>
    <col min="1226" max="1226" width="7.7109375" style="95" customWidth="1"/>
    <col min="1227" max="1227" width="56.140625" style="95" customWidth="1"/>
    <col min="1228" max="1230" width="10.42578125" style="95" customWidth="1"/>
    <col min="1231" max="1231" width="12.140625" style="95" customWidth="1"/>
    <col min="1232" max="1234" width="9" style="95" hidden="1" customWidth="1"/>
    <col min="1235" max="1235" width="11.85546875" style="95" customWidth="1"/>
    <col min="1236" max="1236" width="12" style="95" customWidth="1"/>
    <col min="1237" max="1237" width="12.140625" style="95" customWidth="1"/>
    <col min="1238" max="1259" width="9" style="95" hidden="1" customWidth="1"/>
    <col min="1260" max="1270" width="9.140625" style="95" customWidth="1"/>
    <col min="1271" max="1480" width="9.140625" style="95" bestFit="1" customWidth="1"/>
    <col min="1481" max="1481" width="6.7109375" style="95" customWidth="1"/>
    <col min="1482" max="1482" width="7.7109375" style="95" customWidth="1"/>
    <col min="1483" max="1483" width="56.140625" style="95" customWidth="1"/>
    <col min="1484" max="1486" width="10.42578125" style="95" customWidth="1"/>
    <col min="1487" max="1487" width="12.140625" style="95" customWidth="1"/>
    <col min="1488" max="1490" width="9" style="95" hidden="1" customWidth="1"/>
    <col min="1491" max="1491" width="11.85546875" style="95" customWidth="1"/>
    <col min="1492" max="1492" width="12" style="95" customWidth="1"/>
    <col min="1493" max="1493" width="12.140625" style="95" customWidth="1"/>
    <col min="1494" max="1515" width="9" style="95" hidden="1" customWidth="1"/>
    <col min="1516" max="1526" width="9.140625" style="95" customWidth="1"/>
    <col min="1527" max="1736" width="9.140625" style="95" bestFit="1" customWidth="1"/>
    <col min="1737" max="1737" width="6.7109375" style="95" customWidth="1"/>
    <col min="1738" max="1738" width="7.7109375" style="95" customWidth="1"/>
    <col min="1739" max="1739" width="56.140625" style="95" customWidth="1"/>
    <col min="1740" max="1742" width="10.42578125" style="95" customWidth="1"/>
    <col min="1743" max="1743" width="12.140625" style="95" customWidth="1"/>
    <col min="1744" max="1746" width="9" style="95" hidden="1" customWidth="1"/>
    <col min="1747" max="1747" width="11.85546875" style="95" customWidth="1"/>
    <col min="1748" max="1748" width="12" style="95" customWidth="1"/>
    <col min="1749" max="1749" width="12.140625" style="95" customWidth="1"/>
    <col min="1750" max="1771" width="9" style="95" hidden="1" customWidth="1"/>
    <col min="1772" max="1782" width="9.140625" style="95" customWidth="1"/>
    <col min="1783" max="1992" width="9.140625" style="95" bestFit="1" customWidth="1"/>
    <col min="1993" max="1993" width="6.7109375" style="95" customWidth="1"/>
    <col min="1994" max="1994" width="7.7109375" style="95" customWidth="1"/>
    <col min="1995" max="1995" width="56.140625" style="95" customWidth="1"/>
    <col min="1996" max="1998" width="10.42578125" style="95" customWidth="1"/>
    <col min="1999" max="1999" width="12.140625" style="95" customWidth="1"/>
    <col min="2000" max="2002" width="9" style="95" hidden="1" customWidth="1"/>
    <col min="2003" max="2003" width="11.85546875" style="95" customWidth="1"/>
    <col min="2004" max="2004" width="12" style="95" customWidth="1"/>
    <col min="2005" max="2005" width="12.140625" style="95" customWidth="1"/>
    <col min="2006" max="2027" width="9" style="95" hidden="1" customWidth="1"/>
    <col min="2028" max="2038" width="9.140625" style="95" customWidth="1"/>
    <col min="2039" max="2248" width="9.140625" style="95" bestFit="1" customWidth="1"/>
    <col min="2249" max="2249" width="6.7109375" style="95" customWidth="1"/>
    <col min="2250" max="2250" width="7.7109375" style="95" customWidth="1"/>
    <col min="2251" max="2251" width="56.140625" style="95" customWidth="1"/>
    <col min="2252" max="2254" width="10.42578125" style="95" customWidth="1"/>
    <col min="2255" max="2255" width="12.140625" style="95" customWidth="1"/>
    <col min="2256" max="2258" width="9" style="95" hidden="1" customWidth="1"/>
    <col min="2259" max="2259" width="11.85546875" style="95" customWidth="1"/>
    <col min="2260" max="2260" width="12" style="95" customWidth="1"/>
    <col min="2261" max="2261" width="12.140625" style="95" customWidth="1"/>
    <col min="2262" max="2283" width="9" style="95" hidden="1" customWidth="1"/>
    <col min="2284" max="2294" width="9.140625" style="95" customWidth="1"/>
    <col min="2295" max="2504" width="9.140625" style="95" bestFit="1" customWidth="1"/>
    <col min="2505" max="2505" width="6.7109375" style="95" customWidth="1"/>
    <col min="2506" max="2506" width="7.7109375" style="95" customWidth="1"/>
    <col min="2507" max="2507" width="56.140625" style="95" customWidth="1"/>
    <col min="2508" max="2510" width="10.42578125" style="95" customWidth="1"/>
    <col min="2511" max="2511" width="12.140625" style="95" customWidth="1"/>
    <col min="2512" max="2514" width="9" style="95" hidden="1" customWidth="1"/>
    <col min="2515" max="2515" width="11.85546875" style="95" customWidth="1"/>
    <col min="2516" max="2516" width="12" style="95" customWidth="1"/>
    <col min="2517" max="2517" width="12.140625" style="95" customWidth="1"/>
    <col min="2518" max="2539" width="9" style="95" hidden="1" customWidth="1"/>
    <col min="2540" max="2550" width="9.140625" style="95" customWidth="1"/>
    <col min="2551" max="2760" width="9.140625" style="95" bestFit="1" customWidth="1"/>
    <col min="2761" max="2761" width="6.7109375" style="95" customWidth="1"/>
    <col min="2762" max="2762" width="7.7109375" style="95" customWidth="1"/>
    <col min="2763" max="2763" width="56.140625" style="95" customWidth="1"/>
    <col min="2764" max="2766" width="10.42578125" style="95" customWidth="1"/>
    <col min="2767" max="2767" width="12.140625" style="95" customWidth="1"/>
    <col min="2768" max="2770" width="9" style="95" hidden="1" customWidth="1"/>
    <col min="2771" max="2771" width="11.85546875" style="95" customWidth="1"/>
    <col min="2772" max="2772" width="12" style="95" customWidth="1"/>
    <col min="2773" max="2773" width="12.140625" style="95" customWidth="1"/>
    <col min="2774" max="2795" width="9" style="95" hidden="1" customWidth="1"/>
    <col min="2796" max="2806" width="9.140625" style="95" customWidth="1"/>
    <col min="2807" max="3016" width="9.140625" style="95" bestFit="1" customWidth="1"/>
    <col min="3017" max="3017" width="6.7109375" style="95" customWidth="1"/>
    <col min="3018" max="3018" width="7.7109375" style="95" customWidth="1"/>
    <col min="3019" max="3019" width="56.140625" style="95" customWidth="1"/>
    <col min="3020" max="3022" width="10.42578125" style="95" customWidth="1"/>
    <col min="3023" max="3023" width="12.140625" style="95" customWidth="1"/>
    <col min="3024" max="3026" width="9" style="95" hidden="1" customWidth="1"/>
    <col min="3027" max="3027" width="11.85546875" style="95" customWidth="1"/>
    <col min="3028" max="3028" width="12" style="95" customWidth="1"/>
    <col min="3029" max="3029" width="12.140625" style="95" customWidth="1"/>
    <col min="3030" max="3051" width="9" style="95" hidden="1" customWidth="1"/>
    <col min="3052" max="3062" width="9.140625" style="95" customWidth="1"/>
    <col min="3063" max="3272" width="9.140625" style="95" bestFit="1" customWidth="1"/>
    <col min="3273" max="3273" width="6.7109375" style="95" customWidth="1"/>
    <col min="3274" max="3274" width="7.7109375" style="95" customWidth="1"/>
    <col min="3275" max="3275" width="56.140625" style="95" customWidth="1"/>
    <col min="3276" max="3278" width="10.42578125" style="95" customWidth="1"/>
    <col min="3279" max="3279" width="12.140625" style="95" customWidth="1"/>
    <col min="3280" max="3282" width="9" style="95" hidden="1" customWidth="1"/>
    <col min="3283" max="3283" width="11.85546875" style="95" customWidth="1"/>
    <col min="3284" max="3284" width="12" style="95" customWidth="1"/>
    <col min="3285" max="3285" width="12.140625" style="95" customWidth="1"/>
    <col min="3286" max="3307" width="9" style="95" hidden="1" customWidth="1"/>
    <col min="3308" max="3318" width="9.140625" style="95" customWidth="1"/>
    <col min="3319" max="3528" width="9.140625" style="95" bestFit="1" customWidth="1"/>
    <col min="3529" max="3529" width="6.7109375" style="95" customWidth="1"/>
    <col min="3530" max="3530" width="7.7109375" style="95" customWidth="1"/>
    <col min="3531" max="3531" width="56.140625" style="95" customWidth="1"/>
    <col min="3532" max="3534" width="10.42578125" style="95" customWidth="1"/>
    <col min="3535" max="3535" width="12.140625" style="95" customWidth="1"/>
    <col min="3536" max="3538" width="9" style="95" hidden="1" customWidth="1"/>
    <col min="3539" max="3539" width="11.85546875" style="95" customWidth="1"/>
    <col min="3540" max="3540" width="12" style="95" customWidth="1"/>
    <col min="3541" max="3541" width="12.140625" style="95" customWidth="1"/>
    <col min="3542" max="3563" width="9" style="95" hidden="1" customWidth="1"/>
    <col min="3564" max="3574" width="9.140625" style="95" customWidth="1"/>
    <col min="3575" max="3784" width="9.140625" style="95" bestFit="1" customWidth="1"/>
    <col min="3785" max="3785" width="6.7109375" style="95" customWidth="1"/>
    <col min="3786" max="3786" width="7.7109375" style="95" customWidth="1"/>
    <col min="3787" max="3787" width="56.140625" style="95" customWidth="1"/>
    <col min="3788" max="3790" width="10.42578125" style="95" customWidth="1"/>
    <col min="3791" max="3791" width="12.140625" style="95" customWidth="1"/>
    <col min="3792" max="3794" width="9" style="95" hidden="1" customWidth="1"/>
    <col min="3795" max="3795" width="11.85546875" style="95" customWidth="1"/>
    <col min="3796" max="3796" width="12" style="95" customWidth="1"/>
    <col min="3797" max="3797" width="12.140625" style="95" customWidth="1"/>
    <col min="3798" max="3819" width="9" style="95" hidden="1" customWidth="1"/>
    <col min="3820" max="3830" width="9.140625" style="95" customWidth="1"/>
    <col min="3831" max="4040" width="9.140625" style="95" bestFit="1" customWidth="1"/>
    <col min="4041" max="4041" width="6.7109375" style="95" customWidth="1"/>
    <col min="4042" max="4042" width="7.7109375" style="95" customWidth="1"/>
    <col min="4043" max="4043" width="56.140625" style="95" customWidth="1"/>
    <col min="4044" max="4046" width="10.42578125" style="95" customWidth="1"/>
    <col min="4047" max="4047" width="12.140625" style="95" customWidth="1"/>
    <col min="4048" max="4050" width="9" style="95" hidden="1" customWidth="1"/>
    <col min="4051" max="4051" width="11.85546875" style="95" customWidth="1"/>
    <col min="4052" max="4052" width="12" style="95" customWidth="1"/>
    <col min="4053" max="4053" width="12.140625" style="95" customWidth="1"/>
    <col min="4054" max="4075" width="9" style="95" hidden="1" customWidth="1"/>
    <col min="4076" max="4086" width="9.140625" style="95" customWidth="1"/>
    <col min="4087" max="4296" width="9.140625" style="95" bestFit="1" customWidth="1"/>
    <col min="4297" max="4297" width="6.7109375" style="95" customWidth="1"/>
    <col min="4298" max="4298" width="7.7109375" style="95" customWidth="1"/>
    <col min="4299" max="4299" width="56.140625" style="95" customWidth="1"/>
    <col min="4300" max="4302" width="10.42578125" style="95" customWidth="1"/>
    <col min="4303" max="4303" width="12.140625" style="95" customWidth="1"/>
    <col min="4304" max="4306" width="9" style="95" hidden="1" customWidth="1"/>
    <col min="4307" max="4307" width="11.85546875" style="95" customWidth="1"/>
    <col min="4308" max="4308" width="12" style="95" customWidth="1"/>
    <col min="4309" max="4309" width="12.140625" style="95" customWidth="1"/>
    <col min="4310" max="4331" width="9" style="95" hidden="1" customWidth="1"/>
    <col min="4332" max="4342" width="9.140625" style="95" customWidth="1"/>
    <col min="4343" max="4552" width="9.140625" style="95" bestFit="1" customWidth="1"/>
    <col min="4553" max="4553" width="6.7109375" style="95" customWidth="1"/>
    <col min="4554" max="4554" width="7.7109375" style="95" customWidth="1"/>
    <col min="4555" max="4555" width="56.140625" style="95" customWidth="1"/>
    <col min="4556" max="4558" width="10.42578125" style="95" customWidth="1"/>
    <col min="4559" max="4559" width="12.140625" style="95" customWidth="1"/>
    <col min="4560" max="4562" width="9" style="95" hidden="1" customWidth="1"/>
    <col min="4563" max="4563" width="11.85546875" style="95" customWidth="1"/>
    <col min="4564" max="4564" width="12" style="95" customWidth="1"/>
    <col min="4565" max="4565" width="12.140625" style="95" customWidth="1"/>
    <col min="4566" max="4587" width="9" style="95" hidden="1" customWidth="1"/>
    <col min="4588" max="4598" width="9.140625" style="95" customWidth="1"/>
    <col min="4599" max="4808" width="9.140625" style="95" bestFit="1" customWidth="1"/>
    <col min="4809" max="4809" width="6.7109375" style="95" customWidth="1"/>
    <col min="4810" max="4810" width="7.7109375" style="95" customWidth="1"/>
    <col min="4811" max="4811" width="56.140625" style="95" customWidth="1"/>
    <col min="4812" max="4814" width="10.42578125" style="95" customWidth="1"/>
    <col min="4815" max="4815" width="12.140625" style="95" customWidth="1"/>
    <col min="4816" max="4818" width="9" style="95" hidden="1" customWidth="1"/>
    <col min="4819" max="4819" width="11.85546875" style="95" customWidth="1"/>
    <col min="4820" max="4820" width="12" style="95" customWidth="1"/>
    <col min="4821" max="4821" width="12.140625" style="95" customWidth="1"/>
    <col min="4822" max="4843" width="9" style="95" hidden="1" customWidth="1"/>
    <col min="4844" max="4854" width="9.140625" style="95" customWidth="1"/>
    <col min="4855" max="5064" width="9.140625" style="95" bestFit="1" customWidth="1"/>
    <col min="5065" max="5065" width="6.7109375" style="95" customWidth="1"/>
    <col min="5066" max="5066" width="7.7109375" style="95" customWidth="1"/>
    <col min="5067" max="5067" width="56.140625" style="95" customWidth="1"/>
    <col min="5068" max="5070" width="10.42578125" style="95" customWidth="1"/>
    <col min="5071" max="5071" width="12.140625" style="95" customWidth="1"/>
    <col min="5072" max="5074" width="9" style="95" hidden="1" customWidth="1"/>
    <col min="5075" max="5075" width="11.85546875" style="95" customWidth="1"/>
    <col min="5076" max="5076" width="12" style="95" customWidth="1"/>
    <col min="5077" max="5077" width="12.140625" style="95" customWidth="1"/>
    <col min="5078" max="5099" width="9" style="95" hidden="1" customWidth="1"/>
    <col min="5100" max="5110" width="9.140625" style="95" customWidth="1"/>
    <col min="5111" max="5320" width="9.140625" style="95" bestFit="1" customWidth="1"/>
    <col min="5321" max="5321" width="6.7109375" style="95" customWidth="1"/>
    <col min="5322" max="5322" width="7.7109375" style="95" customWidth="1"/>
    <col min="5323" max="5323" width="56.140625" style="95" customWidth="1"/>
    <col min="5324" max="5326" width="10.42578125" style="95" customWidth="1"/>
    <col min="5327" max="5327" width="12.140625" style="95" customWidth="1"/>
    <col min="5328" max="5330" width="9" style="95" hidden="1" customWidth="1"/>
    <col min="5331" max="5331" width="11.85546875" style="95" customWidth="1"/>
    <col min="5332" max="5332" width="12" style="95" customWidth="1"/>
    <col min="5333" max="5333" width="12.140625" style="95" customWidth="1"/>
    <col min="5334" max="5355" width="9" style="95" hidden="1" customWidth="1"/>
    <col min="5356" max="5366" width="9.140625" style="95" customWidth="1"/>
    <col min="5367" max="5576" width="9.140625" style="95" bestFit="1" customWidth="1"/>
    <col min="5577" max="5577" width="6.7109375" style="95" customWidth="1"/>
    <col min="5578" max="5578" width="7.7109375" style="95" customWidth="1"/>
    <col min="5579" max="5579" width="56.140625" style="95" customWidth="1"/>
    <col min="5580" max="5582" width="10.42578125" style="95" customWidth="1"/>
    <col min="5583" max="5583" width="12.140625" style="95" customWidth="1"/>
    <col min="5584" max="5586" width="9" style="95" hidden="1" customWidth="1"/>
    <col min="5587" max="5587" width="11.85546875" style="95" customWidth="1"/>
    <col min="5588" max="5588" width="12" style="95" customWidth="1"/>
    <col min="5589" max="5589" width="12.140625" style="95" customWidth="1"/>
    <col min="5590" max="5611" width="9" style="95" hidden="1" customWidth="1"/>
    <col min="5612" max="5622" width="9.140625" style="95" customWidth="1"/>
    <col min="5623" max="5832" width="9.140625" style="95" bestFit="1" customWidth="1"/>
    <col min="5833" max="5833" width="6.7109375" style="95" customWidth="1"/>
    <col min="5834" max="5834" width="7.7109375" style="95" customWidth="1"/>
    <col min="5835" max="5835" width="56.140625" style="95" customWidth="1"/>
    <col min="5836" max="5838" width="10.42578125" style="95" customWidth="1"/>
    <col min="5839" max="5839" width="12.140625" style="95" customWidth="1"/>
    <col min="5840" max="5842" width="9" style="95" hidden="1" customWidth="1"/>
    <col min="5843" max="5843" width="11.85546875" style="95" customWidth="1"/>
    <col min="5844" max="5844" width="12" style="95" customWidth="1"/>
    <col min="5845" max="5845" width="12.140625" style="95" customWidth="1"/>
    <col min="5846" max="5867" width="9" style="95" hidden="1" customWidth="1"/>
    <col min="5868" max="5878" width="9.140625" style="95" customWidth="1"/>
    <col min="5879" max="6088" width="9.140625" style="95" bestFit="1" customWidth="1"/>
    <col min="6089" max="6089" width="6.7109375" style="95" customWidth="1"/>
    <col min="6090" max="6090" width="7.7109375" style="95" customWidth="1"/>
    <col min="6091" max="6091" width="56.140625" style="95" customWidth="1"/>
    <col min="6092" max="6094" width="10.42578125" style="95" customWidth="1"/>
    <col min="6095" max="6095" width="12.140625" style="95" customWidth="1"/>
    <col min="6096" max="6098" width="9" style="95" hidden="1" customWidth="1"/>
    <col min="6099" max="6099" width="11.85546875" style="95" customWidth="1"/>
    <col min="6100" max="6100" width="12" style="95" customWidth="1"/>
    <col min="6101" max="6101" width="12.140625" style="95" customWidth="1"/>
    <col min="6102" max="6123" width="9" style="95" hidden="1" customWidth="1"/>
    <col min="6124" max="6134" width="9.140625" style="95" customWidth="1"/>
    <col min="6135" max="6344" width="9.140625" style="95" bestFit="1" customWidth="1"/>
    <col min="6345" max="6345" width="6.7109375" style="95" customWidth="1"/>
    <col min="6346" max="6346" width="7.7109375" style="95" customWidth="1"/>
    <col min="6347" max="6347" width="56.140625" style="95" customWidth="1"/>
    <col min="6348" max="6350" width="10.42578125" style="95" customWidth="1"/>
    <col min="6351" max="6351" width="12.140625" style="95" customWidth="1"/>
    <col min="6352" max="6354" width="9" style="95" hidden="1" customWidth="1"/>
    <col min="6355" max="6355" width="11.85546875" style="95" customWidth="1"/>
    <col min="6356" max="6356" width="12" style="95" customWidth="1"/>
    <col min="6357" max="6357" width="12.140625" style="95" customWidth="1"/>
    <col min="6358" max="6379" width="9" style="95" hidden="1" customWidth="1"/>
    <col min="6380" max="6390" width="9.140625" style="95" customWidth="1"/>
    <col min="6391" max="6600" width="9.140625" style="95" bestFit="1" customWidth="1"/>
    <col min="6601" max="6601" width="6.7109375" style="95" customWidth="1"/>
    <col min="6602" max="6602" width="7.7109375" style="95" customWidth="1"/>
    <col min="6603" max="6603" width="56.140625" style="95" customWidth="1"/>
    <col min="6604" max="6606" width="10.42578125" style="95" customWidth="1"/>
    <col min="6607" max="6607" width="12.140625" style="95" customWidth="1"/>
    <col min="6608" max="6610" width="9" style="95" hidden="1" customWidth="1"/>
    <col min="6611" max="6611" width="11.85546875" style="95" customWidth="1"/>
    <col min="6612" max="6612" width="12" style="95" customWidth="1"/>
    <col min="6613" max="6613" width="12.140625" style="95" customWidth="1"/>
    <col min="6614" max="6635" width="9" style="95" hidden="1" customWidth="1"/>
    <col min="6636" max="6646" width="9.140625" style="95" customWidth="1"/>
    <col min="6647" max="6856" width="9.140625" style="95" bestFit="1" customWidth="1"/>
    <col min="6857" max="6857" width="6.7109375" style="95" customWidth="1"/>
    <col min="6858" max="6858" width="7.7109375" style="95" customWidth="1"/>
    <col min="6859" max="6859" width="56.140625" style="95" customWidth="1"/>
    <col min="6860" max="6862" width="10.42578125" style="95" customWidth="1"/>
    <col min="6863" max="6863" width="12.140625" style="95" customWidth="1"/>
    <col min="6864" max="6866" width="9" style="95" hidden="1" customWidth="1"/>
    <col min="6867" max="6867" width="11.85546875" style="95" customWidth="1"/>
    <col min="6868" max="6868" width="12" style="95" customWidth="1"/>
    <col min="6869" max="6869" width="12.140625" style="95" customWidth="1"/>
    <col min="6870" max="6891" width="9" style="95" hidden="1" customWidth="1"/>
    <col min="6892" max="6902" width="9.140625" style="95" customWidth="1"/>
    <col min="6903" max="7112" width="9.140625" style="95" bestFit="1" customWidth="1"/>
    <col min="7113" max="7113" width="6.7109375" style="95" customWidth="1"/>
    <col min="7114" max="7114" width="7.7109375" style="95" customWidth="1"/>
    <col min="7115" max="7115" width="56.140625" style="95" customWidth="1"/>
    <col min="7116" max="7118" width="10.42578125" style="95" customWidth="1"/>
    <col min="7119" max="7119" width="12.140625" style="95" customWidth="1"/>
    <col min="7120" max="7122" width="9" style="95" hidden="1" customWidth="1"/>
    <col min="7123" max="7123" width="11.85546875" style="95" customWidth="1"/>
    <col min="7124" max="7124" width="12" style="95" customWidth="1"/>
    <col min="7125" max="7125" width="12.140625" style="95" customWidth="1"/>
    <col min="7126" max="7147" width="9" style="95" hidden="1" customWidth="1"/>
    <col min="7148" max="7158" width="9.140625" style="95" customWidth="1"/>
    <col min="7159" max="7368" width="9.140625" style="95" bestFit="1" customWidth="1"/>
    <col min="7369" max="7369" width="6.7109375" style="95" customWidth="1"/>
    <col min="7370" max="7370" width="7.7109375" style="95" customWidth="1"/>
    <col min="7371" max="7371" width="56.140625" style="95" customWidth="1"/>
    <col min="7372" max="7374" width="10.42578125" style="95" customWidth="1"/>
    <col min="7375" max="7375" width="12.140625" style="95" customWidth="1"/>
    <col min="7376" max="7378" width="9" style="95" hidden="1" customWidth="1"/>
    <col min="7379" max="7379" width="11.85546875" style="95" customWidth="1"/>
    <col min="7380" max="7380" width="12" style="95" customWidth="1"/>
    <col min="7381" max="7381" width="12.140625" style="95" customWidth="1"/>
    <col min="7382" max="7403" width="9" style="95" hidden="1" customWidth="1"/>
    <col min="7404" max="7414" width="9.140625" style="95" customWidth="1"/>
    <col min="7415" max="7624" width="9.140625" style="95" bestFit="1" customWidth="1"/>
    <col min="7625" max="7625" width="6.7109375" style="95" customWidth="1"/>
    <col min="7626" max="7626" width="7.7109375" style="95" customWidth="1"/>
    <col min="7627" max="7627" width="56.140625" style="95" customWidth="1"/>
    <col min="7628" max="7630" width="10.42578125" style="95" customWidth="1"/>
    <col min="7631" max="7631" width="12.140625" style="95" customWidth="1"/>
    <col min="7632" max="7634" width="9" style="95" hidden="1" customWidth="1"/>
    <col min="7635" max="7635" width="11.85546875" style="95" customWidth="1"/>
    <col min="7636" max="7636" width="12" style="95" customWidth="1"/>
    <col min="7637" max="7637" width="12.140625" style="95" customWidth="1"/>
    <col min="7638" max="7659" width="9" style="95" hidden="1" customWidth="1"/>
    <col min="7660" max="7670" width="9.140625" style="95" customWidth="1"/>
    <col min="7671" max="7880" width="9.140625" style="95" bestFit="1" customWidth="1"/>
    <col min="7881" max="7881" width="6.7109375" style="95" customWidth="1"/>
    <col min="7882" max="7882" width="7.7109375" style="95" customWidth="1"/>
    <col min="7883" max="7883" width="56.140625" style="95" customWidth="1"/>
    <col min="7884" max="7886" width="10.42578125" style="95" customWidth="1"/>
    <col min="7887" max="7887" width="12.140625" style="95" customWidth="1"/>
    <col min="7888" max="7890" width="9" style="95" hidden="1" customWidth="1"/>
    <col min="7891" max="7891" width="11.85546875" style="95" customWidth="1"/>
    <col min="7892" max="7892" width="12" style="95" customWidth="1"/>
    <col min="7893" max="7893" width="12.140625" style="95" customWidth="1"/>
    <col min="7894" max="7915" width="9" style="95" hidden="1" customWidth="1"/>
    <col min="7916" max="7926" width="9.140625" style="95" customWidth="1"/>
    <col min="7927" max="8136" width="9.140625" style="95" bestFit="1" customWidth="1"/>
    <col min="8137" max="8137" width="6.7109375" style="95" customWidth="1"/>
    <col min="8138" max="8138" width="7.7109375" style="95" customWidth="1"/>
    <col min="8139" max="8139" width="56.140625" style="95" customWidth="1"/>
    <col min="8140" max="8142" width="10.42578125" style="95" customWidth="1"/>
    <col min="8143" max="8143" width="12.140625" style="95" customWidth="1"/>
    <col min="8144" max="8146" width="9" style="95" hidden="1" customWidth="1"/>
    <col min="8147" max="8147" width="11.85546875" style="95" customWidth="1"/>
    <col min="8148" max="8148" width="12" style="95" customWidth="1"/>
    <col min="8149" max="8149" width="12.140625" style="95" customWidth="1"/>
    <col min="8150" max="8171" width="9" style="95" hidden="1" customWidth="1"/>
    <col min="8172" max="8182" width="9.140625" style="95" customWidth="1"/>
    <col min="8183" max="8392" width="9.140625" style="95" bestFit="1" customWidth="1"/>
    <col min="8393" max="8393" width="6.7109375" style="95" customWidth="1"/>
    <col min="8394" max="8394" width="7.7109375" style="95" customWidth="1"/>
    <col min="8395" max="8395" width="56.140625" style="95" customWidth="1"/>
    <col min="8396" max="8398" width="10.42578125" style="95" customWidth="1"/>
    <col min="8399" max="8399" width="12.140625" style="95" customWidth="1"/>
    <col min="8400" max="8402" width="9" style="95" hidden="1" customWidth="1"/>
    <col min="8403" max="8403" width="11.85546875" style="95" customWidth="1"/>
    <col min="8404" max="8404" width="12" style="95" customWidth="1"/>
    <col min="8405" max="8405" width="12.140625" style="95" customWidth="1"/>
    <col min="8406" max="8427" width="9" style="95" hidden="1" customWidth="1"/>
    <col min="8428" max="8438" width="9.140625" style="95" customWidth="1"/>
    <col min="8439" max="8648" width="9.140625" style="95" bestFit="1" customWidth="1"/>
    <col min="8649" max="8649" width="6.7109375" style="95" customWidth="1"/>
    <col min="8650" max="8650" width="7.7109375" style="95" customWidth="1"/>
    <col min="8651" max="8651" width="56.140625" style="95" customWidth="1"/>
    <col min="8652" max="8654" width="10.42578125" style="95" customWidth="1"/>
    <col min="8655" max="8655" width="12.140625" style="95" customWidth="1"/>
    <col min="8656" max="8658" width="9" style="95" hidden="1" customWidth="1"/>
    <col min="8659" max="8659" width="11.85546875" style="95" customWidth="1"/>
    <col min="8660" max="8660" width="12" style="95" customWidth="1"/>
    <col min="8661" max="8661" width="12.140625" style="95" customWidth="1"/>
    <col min="8662" max="8683" width="9" style="95" hidden="1" customWidth="1"/>
    <col min="8684" max="8694" width="9.140625" style="95" customWidth="1"/>
    <col min="8695" max="8904" width="9.140625" style="95" bestFit="1" customWidth="1"/>
    <col min="8905" max="8905" width="6.7109375" style="95" customWidth="1"/>
    <col min="8906" max="8906" width="7.7109375" style="95" customWidth="1"/>
    <col min="8907" max="8907" width="56.140625" style="95" customWidth="1"/>
    <col min="8908" max="8910" width="10.42578125" style="95" customWidth="1"/>
    <col min="8911" max="8911" width="12.140625" style="95" customWidth="1"/>
    <col min="8912" max="8914" width="9" style="95" hidden="1" customWidth="1"/>
    <col min="8915" max="8915" width="11.85546875" style="95" customWidth="1"/>
    <col min="8916" max="8916" width="12" style="95" customWidth="1"/>
    <col min="8917" max="8917" width="12.140625" style="95" customWidth="1"/>
    <col min="8918" max="8939" width="9" style="95" hidden="1" customWidth="1"/>
    <col min="8940" max="8950" width="9.140625" style="95" customWidth="1"/>
    <col min="8951" max="9160" width="9.140625" style="95" bestFit="1" customWidth="1"/>
    <col min="9161" max="9161" width="6.7109375" style="95" customWidth="1"/>
    <col min="9162" max="9162" width="7.7109375" style="95" customWidth="1"/>
    <col min="9163" max="9163" width="56.140625" style="95" customWidth="1"/>
    <col min="9164" max="9166" width="10.42578125" style="95" customWidth="1"/>
    <col min="9167" max="9167" width="12.140625" style="95" customWidth="1"/>
    <col min="9168" max="9170" width="9" style="95" hidden="1" customWidth="1"/>
    <col min="9171" max="9171" width="11.85546875" style="95" customWidth="1"/>
    <col min="9172" max="9172" width="12" style="95" customWidth="1"/>
    <col min="9173" max="9173" width="12.140625" style="95" customWidth="1"/>
    <col min="9174" max="9195" width="9" style="95" hidden="1" customWidth="1"/>
    <col min="9196" max="9206" width="9.140625" style="95" customWidth="1"/>
    <col min="9207" max="9416" width="9.140625" style="95" bestFit="1" customWidth="1"/>
    <col min="9417" max="9417" width="6.7109375" style="95" customWidth="1"/>
    <col min="9418" max="9418" width="7.7109375" style="95" customWidth="1"/>
    <col min="9419" max="9419" width="56.140625" style="95" customWidth="1"/>
    <col min="9420" max="9422" width="10.42578125" style="95" customWidth="1"/>
    <col min="9423" max="9423" width="12.140625" style="95" customWidth="1"/>
    <col min="9424" max="9426" width="9" style="95" hidden="1" customWidth="1"/>
    <col min="9427" max="9427" width="11.85546875" style="95" customWidth="1"/>
    <col min="9428" max="9428" width="12" style="95" customWidth="1"/>
    <col min="9429" max="9429" width="12.140625" style="95" customWidth="1"/>
    <col min="9430" max="9451" width="9" style="95" hidden="1" customWidth="1"/>
    <col min="9452" max="9462" width="9.140625" style="95" customWidth="1"/>
    <col min="9463" max="9672" width="9.140625" style="95" bestFit="1" customWidth="1"/>
    <col min="9673" max="9673" width="6.7109375" style="95" customWidth="1"/>
    <col min="9674" max="9674" width="7.7109375" style="95" customWidth="1"/>
    <col min="9675" max="9675" width="56.140625" style="95" customWidth="1"/>
    <col min="9676" max="9678" width="10.42578125" style="95" customWidth="1"/>
    <col min="9679" max="9679" width="12.140625" style="95" customWidth="1"/>
    <col min="9680" max="9682" width="9" style="95" hidden="1" customWidth="1"/>
    <col min="9683" max="9683" width="11.85546875" style="95" customWidth="1"/>
    <col min="9684" max="9684" width="12" style="95" customWidth="1"/>
    <col min="9685" max="9685" width="12.140625" style="95" customWidth="1"/>
    <col min="9686" max="9707" width="9" style="95" hidden="1" customWidth="1"/>
    <col min="9708" max="9718" width="9.140625" style="95" customWidth="1"/>
    <col min="9719" max="9928" width="9.140625" style="95" bestFit="1" customWidth="1"/>
    <col min="9929" max="9929" width="6.7109375" style="95" customWidth="1"/>
    <col min="9930" max="9930" width="7.7109375" style="95" customWidth="1"/>
    <col min="9931" max="9931" width="56.140625" style="95" customWidth="1"/>
    <col min="9932" max="9934" width="10.42578125" style="95" customWidth="1"/>
    <col min="9935" max="9935" width="12.140625" style="95" customWidth="1"/>
    <col min="9936" max="9938" width="9" style="95" hidden="1" customWidth="1"/>
    <col min="9939" max="9939" width="11.85546875" style="95" customWidth="1"/>
    <col min="9940" max="9940" width="12" style="95" customWidth="1"/>
    <col min="9941" max="9941" width="12.140625" style="95" customWidth="1"/>
    <col min="9942" max="9963" width="9" style="95" hidden="1" customWidth="1"/>
    <col min="9964" max="9974" width="9.140625" style="95" customWidth="1"/>
    <col min="9975" max="10184" width="9.140625" style="95" bestFit="1" customWidth="1"/>
    <col min="10185" max="10185" width="6.7109375" style="95" customWidth="1"/>
    <col min="10186" max="10186" width="7.7109375" style="95" customWidth="1"/>
    <col min="10187" max="10187" width="56.140625" style="95" customWidth="1"/>
    <col min="10188" max="10190" width="10.42578125" style="95" customWidth="1"/>
    <col min="10191" max="10191" width="12.140625" style="95" customWidth="1"/>
    <col min="10192" max="10194" width="9" style="95" hidden="1" customWidth="1"/>
    <col min="10195" max="10195" width="11.85546875" style="95" customWidth="1"/>
    <col min="10196" max="10196" width="12" style="95" customWidth="1"/>
    <col min="10197" max="10197" width="12.140625" style="95" customWidth="1"/>
    <col min="10198" max="10219" width="9" style="95" hidden="1" customWidth="1"/>
    <col min="10220" max="10230" width="9.140625" style="95" customWidth="1"/>
    <col min="10231" max="10440" width="9.140625" style="95" bestFit="1" customWidth="1"/>
    <col min="10441" max="10441" width="6.7109375" style="95" customWidth="1"/>
    <col min="10442" max="10442" width="7.7109375" style="95" customWidth="1"/>
    <col min="10443" max="10443" width="56.140625" style="95" customWidth="1"/>
    <col min="10444" max="10446" width="10.42578125" style="95" customWidth="1"/>
    <col min="10447" max="10447" width="12.140625" style="95" customWidth="1"/>
    <col min="10448" max="10450" width="9" style="95" hidden="1" customWidth="1"/>
    <col min="10451" max="10451" width="11.85546875" style="95" customWidth="1"/>
    <col min="10452" max="10452" width="12" style="95" customWidth="1"/>
    <col min="10453" max="10453" width="12.140625" style="95" customWidth="1"/>
    <col min="10454" max="10475" width="9" style="95" hidden="1" customWidth="1"/>
    <col min="10476" max="10486" width="9.140625" style="95" customWidth="1"/>
    <col min="10487" max="10696" width="9.140625" style="95" bestFit="1" customWidth="1"/>
    <col min="10697" max="10697" width="6.7109375" style="95" customWidth="1"/>
    <col min="10698" max="10698" width="7.7109375" style="95" customWidth="1"/>
    <col min="10699" max="10699" width="56.140625" style="95" customWidth="1"/>
    <col min="10700" max="10702" width="10.42578125" style="95" customWidth="1"/>
    <col min="10703" max="10703" width="12.140625" style="95" customWidth="1"/>
    <col min="10704" max="10706" width="9" style="95" hidden="1" customWidth="1"/>
    <col min="10707" max="10707" width="11.85546875" style="95" customWidth="1"/>
    <col min="10708" max="10708" width="12" style="95" customWidth="1"/>
    <col min="10709" max="10709" width="12.140625" style="95" customWidth="1"/>
    <col min="10710" max="10731" width="9" style="95" hidden="1" customWidth="1"/>
    <col min="10732" max="10742" width="9.140625" style="95" customWidth="1"/>
    <col min="10743" max="10952" width="9.140625" style="95" bestFit="1" customWidth="1"/>
    <col min="10953" max="10953" width="6.7109375" style="95" customWidth="1"/>
    <col min="10954" max="10954" width="7.7109375" style="95" customWidth="1"/>
    <col min="10955" max="10955" width="56.140625" style="95" customWidth="1"/>
    <col min="10956" max="10958" width="10.42578125" style="95" customWidth="1"/>
    <col min="10959" max="10959" width="12.140625" style="95" customWidth="1"/>
    <col min="10960" max="10962" width="9" style="95" hidden="1" customWidth="1"/>
    <col min="10963" max="10963" width="11.85546875" style="95" customWidth="1"/>
    <col min="10964" max="10964" width="12" style="95" customWidth="1"/>
    <col min="10965" max="10965" width="12.140625" style="95" customWidth="1"/>
    <col min="10966" max="10987" width="9" style="95" hidden="1" customWidth="1"/>
    <col min="10988" max="10998" width="9.140625" style="95" customWidth="1"/>
    <col min="10999" max="11208" width="9.140625" style="95" bestFit="1" customWidth="1"/>
    <col min="11209" max="11209" width="6.7109375" style="95" customWidth="1"/>
    <col min="11210" max="11210" width="7.7109375" style="95" customWidth="1"/>
    <col min="11211" max="11211" width="56.140625" style="95" customWidth="1"/>
    <col min="11212" max="11214" width="10.42578125" style="95" customWidth="1"/>
    <col min="11215" max="11215" width="12.140625" style="95" customWidth="1"/>
    <col min="11216" max="11218" width="9" style="95" hidden="1" customWidth="1"/>
    <col min="11219" max="11219" width="11.85546875" style="95" customWidth="1"/>
    <col min="11220" max="11220" width="12" style="95" customWidth="1"/>
    <col min="11221" max="11221" width="12.140625" style="95" customWidth="1"/>
    <col min="11222" max="11243" width="9" style="95" hidden="1" customWidth="1"/>
    <col min="11244" max="11254" width="9.140625" style="95" customWidth="1"/>
    <col min="11255" max="11464" width="9.140625" style="95" bestFit="1" customWidth="1"/>
    <col min="11465" max="11465" width="6.7109375" style="95" customWidth="1"/>
    <col min="11466" max="11466" width="7.7109375" style="95" customWidth="1"/>
    <col min="11467" max="11467" width="56.140625" style="95" customWidth="1"/>
    <col min="11468" max="11470" width="10.42578125" style="95" customWidth="1"/>
    <col min="11471" max="11471" width="12.140625" style="95" customWidth="1"/>
    <col min="11472" max="11474" width="9" style="95" hidden="1" customWidth="1"/>
    <col min="11475" max="11475" width="11.85546875" style="95" customWidth="1"/>
    <col min="11476" max="11476" width="12" style="95" customWidth="1"/>
    <col min="11477" max="11477" width="12.140625" style="95" customWidth="1"/>
    <col min="11478" max="11499" width="9" style="95" hidden="1" customWidth="1"/>
    <col min="11500" max="11510" width="9.140625" style="95" customWidth="1"/>
    <col min="11511" max="11720" width="9.140625" style="95" bestFit="1" customWidth="1"/>
    <col min="11721" max="11721" width="6.7109375" style="95" customWidth="1"/>
    <col min="11722" max="11722" width="7.7109375" style="95" customWidth="1"/>
    <col min="11723" max="11723" width="56.140625" style="95" customWidth="1"/>
    <col min="11724" max="11726" width="10.42578125" style="95" customWidth="1"/>
    <col min="11727" max="11727" width="12.140625" style="95" customWidth="1"/>
    <col min="11728" max="11730" width="9" style="95" hidden="1" customWidth="1"/>
    <col min="11731" max="11731" width="11.85546875" style="95" customWidth="1"/>
    <col min="11732" max="11732" width="12" style="95" customWidth="1"/>
    <col min="11733" max="11733" width="12.140625" style="95" customWidth="1"/>
    <col min="11734" max="11755" width="9" style="95" hidden="1" customWidth="1"/>
    <col min="11756" max="11766" width="9.140625" style="95" customWidth="1"/>
    <col min="11767" max="11976" width="9.140625" style="95" bestFit="1" customWidth="1"/>
    <col min="11977" max="11977" width="6.7109375" style="95" customWidth="1"/>
    <col min="11978" max="11978" width="7.7109375" style="95" customWidth="1"/>
    <col min="11979" max="11979" width="56.140625" style="95" customWidth="1"/>
    <col min="11980" max="11982" width="10.42578125" style="95" customWidth="1"/>
    <col min="11983" max="11983" width="12.140625" style="95" customWidth="1"/>
    <col min="11984" max="11986" width="9" style="95" hidden="1" customWidth="1"/>
    <col min="11987" max="11987" width="11.85546875" style="95" customWidth="1"/>
    <col min="11988" max="11988" width="12" style="95" customWidth="1"/>
    <col min="11989" max="11989" width="12.140625" style="95" customWidth="1"/>
    <col min="11990" max="12011" width="9" style="95" hidden="1" customWidth="1"/>
    <col min="12012" max="12022" width="9.140625" style="95" customWidth="1"/>
    <col min="12023" max="12232" width="9.140625" style="95" bestFit="1" customWidth="1"/>
    <col min="12233" max="12233" width="6.7109375" style="95" customWidth="1"/>
    <col min="12234" max="12234" width="7.7109375" style="95" customWidth="1"/>
    <col min="12235" max="12235" width="56.140625" style="95" customWidth="1"/>
    <col min="12236" max="12238" width="10.42578125" style="95" customWidth="1"/>
    <col min="12239" max="12239" width="12.140625" style="95" customWidth="1"/>
    <col min="12240" max="12242" width="9" style="95" hidden="1" customWidth="1"/>
    <col min="12243" max="12243" width="11.85546875" style="95" customWidth="1"/>
    <col min="12244" max="12244" width="12" style="95" customWidth="1"/>
    <col min="12245" max="12245" width="12.140625" style="95" customWidth="1"/>
    <col min="12246" max="12267" width="9" style="95" hidden="1" customWidth="1"/>
    <col min="12268" max="12278" width="9.140625" style="95" customWidth="1"/>
    <col min="12279" max="12488" width="9.140625" style="95" bestFit="1" customWidth="1"/>
    <col min="12489" max="12489" width="6.7109375" style="95" customWidth="1"/>
    <col min="12490" max="12490" width="7.7109375" style="95" customWidth="1"/>
    <col min="12491" max="12491" width="56.140625" style="95" customWidth="1"/>
    <col min="12492" max="12494" width="10.42578125" style="95" customWidth="1"/>
    <col min="12495" max="12495" width="12.140625" style="95" customWidth="1"/>
    <col min="12496" max="12498" width="9" style="95" hidden="1" customWidth="1"/>
    <col min="12499" max="12499" width="11.85546875" style="95" customWidth="1"/>
    <col min="12500" max="12500" width="12" style="95" customWidth="1"/>
    <col min="12501" max="12501" width="12.140625" style="95" customWidth="1"/>
    <col min="12502" max="12523" width="9" style="95" hidden="1" customWidth="1"/>
    <col min="12524" max="12534" width="9.140625" style="95" customWidth="1"/>
    <col min="12535" max="12744" width="9.140625" style="95" bestFit="1" customWidth="1"/>
    <col min="12745" max="12745" width="6.7109375" style="95" customWidth="1"/>
    <col min="12746" max="12746" width="7.7109375" style="95" customWidth="1"/>
    <col min="12747" max="12747" width="56.140625" style="95" customWidth="1"/>
    <col min="12748" max="12750" width="10.42578125" style="95" customWidth="1"/>
    <col min="12751" max="12751" width="12.140625" style="95" customWidth="1"/>
    <col min="12752" max="12754" width="9" style="95" hidden="1" customWidth="1"/>
    <col min="12755" max="12755" width="11.85546875" style="95" customWidth="1"/>
    <col min="12756" max="12756" width="12" style="95" customWidth="1"/>
    <col min="12757" max="12757" width="12.140625" style="95" customWidth="1"/>
    <col min="12758" max="12779" width="9" style="95" hidden="1" customWidth="1"/>
    <col min="12780" max="12790" width="9.140625" style="95" customWidth="1"/>
    <col min="12791" max="13000" width="9.140625" style="95" bestFit="1" customWidth="1"/>
    <col min="13001" max="13001" width="6.7109375" style="95" customWidth="1"/>
    <col min="13002" max="13002" width="7.7109375" style="95" customWidth="1"/>
    <col min="13003" max="13003" width="56.140625" style="95" customWidth="1"/>
    <col min="13004" max="13006" width="10.42578125" style="95" customWidth="1"/>
    <col min="13007" max="13007" width="12.140625" style="95" customWidth="1"/>
    <col min="13008" max="13010" width="9" style="95" hidden="1" customWidth="1"/>
    <col min="13011" max="13011" width="11.85546875" style="95" customWidth="1"/>
    <col min="13012" max="13012" width="12" style="95" customWidth="1"/>
    <col min="13013" max="13013" width="12.140625" style="95" customWidth="1"/>
    <col min="13014" max="13035" width="9" style="95" hidden="1" customWidth="1"/>
    <col min="13036" max="13046" width="9.140625" style="95" customWidth="1"/>
    <col min="13047" max="13256" width="9.140625" style="95" bestFit="1" customWidth="1"/>
    <col min="13257" max="13257" width="6.7109375" style="95" customWidth="1"/>
    <col min="13258" max="13258" width="7.7109375" style="95" customWidth="1"/>
    <col min="13259" max="13259" width="56.140625" style="95" customWidth="1"/>
    <col min="13260" max="13262" width="10.42578125" style="95" customWidth="1"/>
    <col min="13263" max="13263" width="12.140625" style="95" customWidth="1"/>
    <col min="13264" max="13266" width="9" style="95" hidden="1" customWidth="1"/>
    <col min="13267" max="13267" width="11.85546875" style="95" customWidth="1"/>
    <col min="13268" max="13268" width="12" style="95" customWidth="1"/>
    <col min="13269" max="13269" width="12.140625" style="95" customWidth="1"/>
    <col min="13270" max="13291" width="9" style="95" hidden="1" customWidth="1"/>
    <col min="13292" max="13302" width="9.140625" style="95" customWidth="1"/>
    <col min="13303" max="13512" width="9.140625" style="95" bestFit="1" customWidth="1"/>
    <col min="13513" max="13513" width="6.7109375" style="95" customWidth="1"/>
    <col min="13514" max="13514" width="7.7109375" style="95" customWidth="1"/>
    <col min="13515" max="13515" width="56.140625" style="95" customWidth="1"/>
    <col min="13516" max="13518" width="10.42578125" style="95" customWidth="1"/>
    <col min="13519" max="13519" width="12.140625" style="95" customWidth="1"/>
    <col min="13520" max="13522" width="9" style="95" hidden="1" customWidth="1"/>
    <col min="13523" max="13523" width="11.85546875" style="95" customWidth="1"/>
    <col min="13524" max="13524" width="12" style="95" customWidth="1"/>
    <col min="13525" max="13525" width="12.140625" style="95" customWidth="1"/>
    <col min="13526" max="13547" width="9" style="95" hidden="1" customWidth="1"/>
    <col min="13548" max="13558" width="9.140625" style="95" customWidth="1"/>
    <col min="13559" max="13768" width="9.140625" style="95" bestFit="1" customWidth="1"/>
    <col min="13769" max="13769" width="6.7109375" style="95" customWidth="1"/>
    <col min="13770" max="13770" width="7.7109375" style="95" customWidth="1"/>
    <col min="13771" max="13771" width="56.140625" style="95" customWidth="1"/>
    <col min="13772" max="13774" width="10.42578125" style="95" customWidth="1"/>
    <col min="13775" max="13775" width="12.140625" style="95" customWidth="1"/>
    <col min="13776" max="13778" width="9" style="95" hidden="1" customWidth="1"/>
    <col min="13779" max="13779" width="11.85546875" style="95" customWidth="1"/>
    <col min="13780" max="13780" width="12" style="95" customWidth="1"/>
    <col min="13781" max="13781" width="12.140625" style="95" customWidth="1"/>
    <col min="13782" max="13803" width="9" style="95" hidden="1" customWidth="1"/>
    <col min="13804" max="13814" width="9.140625" style="95" customWidth="1"/>
    <col min="13815" max="14024" width="9.140625" style="95" bestFit="1" customWidth="1"/>
    <col min="14025" max="14025" width="6.7109375" style="95" customWidth="1"/>
    <col min="14026" max="14026" width="7.7109375" style="95" customWidth="1"/>
    <col min="14027" max="14027" width="56.140625" style="95" customWidth="1"/>
    <col min="14028" max="14030" width="10.42578125" style="95" customWidth="1"/>
    <col min="14031" max="14031" width="12.140625" style="95" customWidth="1"/>
    <col min="14032" max="14034" width="9" style="95" hidden="1" customWidth="1"/>
    <col min="14035" max="14035" width="11.85546875" style="95" customWidth="1"/>
    <col min="14036" max="14036" width="12" style="95" customWidth="1"/>
    <col min="14037" max="14037" width="12.140625" style="95" customWidth="1"/>
    <col min="14038" max="14059" width="9" style="95" hidden="1" customWidth="1"/>
    <col min="14060" max="14070" width="9.140625" style="95" customWidth="1"/>
    <col min="14071" max="14280" width="9.140625" style="95" bestFit="1" customWidth="1"/>
    <col min="14281" max="14281" width="6.7109375" style="95" customWidth="1"/>
    <col min="14282" max="14282" width="7.7109375" style="95" customWidth="1"/>
    <col min="14283" max="14283" width="56.140625" style="95" customWidth="1"/>
    <col min="14284" max="14286" width="10.42578125" style="95" customWidth="1"/>
    <col min="14287" max="14287" width="12.140625" style="95" customWidth="1"/>
    <col min="14288" max="14290" width="9" style="95" hidden="1" customWidth="1"/>
    <col min="14291" max="14291" width="11.85546875" style="95" customWidth="1"/>
    <col min="14292" max="14292" width="12" style="95" customWidth="1"/>
    <col min="14293" max="14293" width="12.140625" style="95" customWidth="1"/>
    <col min="14294" max="14315" width="9" style="95" hidden="1" customWidth="1"/>
    <col min="14316" max="14326" width="9.140625" style="95" customWidth="1"/>
    <col min="14327" max="14536" width="9.140625" style="95" bestFit="1" customWidth="1"/>
    <col min="14537" max="14537" width="6.7109375" style="95" customWidth="1"/>
    <col min="14538" max="14538" width="7.7109375" style="95" customWidth="1"/>
    <col min="14539" max="14539" width="56.140625" style="95" customWidth="1"/>
    <col min="14540" max="14542" width="10.42578125" style="95" customWidth="1"/>
    <col min="14543" max="14543" width="12.140625" style="95" customWidth="1"/>
    <col min="14544" max="14546" width="9" style="95" hidden="1" customWidth="1"/>
    <col min="14547" max="14547" width="11.85546875" style="95" customWidth="1"/>
    <col min="14548" max="14548" width="12" style="95" customWidth="1"/>
    <col min="14549" max="14549" width="12.140625" style="95" customWidth="1"/>
    <col min="14550" max="14571" width="9" style="95" hidden="1" customWidth="1"/>
    <col min="14572" max="14582" width="9.140625" style="95" customWidth="1"/>
    <col min="14583" max="14792" width="9.140625" style="95" bestFit="1" customWidth="1"/>
    <col min="14793" max="14793" width="6.7109375" style="95" customWidth="1"/>
    <col min="14794" max="14794" width="7.7109375" style="95" customWidth="1"/>
    <col min="14795" max="14795" width="56.140625" style="95" customWidth="1"/>
    <col min="14796" max="14798" width="10.42578125" style="95" customWidth="1"/>
    <col min="14799" max="14799" width="12.140625" style="95" customWidth="1"/>
    <col min="14800" max="14802" width="9" style="95" hidden="1" customWidth="1"/>
    <col min="14803" max="14803" width="11.85546875" style="95" customWidth="1"/>
    <col min="14804" max="14804" width="12" style="95" customWidth="1"/>
    <col min="14805" max="14805" width="12.140625" style="95" customWidth="1"/>
    <col min="14806" max="14827" width="9" style="95" hidden="1" customWidth="1"/>
    <col min="14828" max="14838" width="9.140625" style="95" customWidth="1"/>
    <col min="14839" max="15048" width="9.140625" style="95" bestFit="1" customWidth="1"/>
    <col min="15049" max="15049" width="6.7109375" style="95" customWidth="1"/>
    <col min="15050" max="15050" width="7.7109375" style="95" customWidth="1"/>
    <col min="15051" max="15051" width="56.140625" style="95" customWidth="1"/>
    <col min="15052" max="15054" width="10.42578125" style="95" customWidth="1"/>
    <col min="15055" max="15055" width="12.140625" style="95" customWidth="1"/>
    <col min="15056" max="15058" width="9" style="95" hidden="1" customWidth="1"/>
    <col min="15059" max="15059" width="11.85546875" style="95" customWidth="1"/>
    <col min="15060" max="15060" width="12" style="95" customWidth="1"/>
    <col min="15061" max="15061" width="12.140625" style="95" customWidth="1"/>
    <col min="15062" max="15083" width="9" style="95" hidden="1" customWidth="1"/>
    <col min="15084" max="15094" width="9.140625" style="95" customWidth="1"/>
    <col min="15095" max="15304" width="9.140625" style="95" bestFit="1" customWidth="1"/>
    <col min="15305" max="15305" width="6.7109375" style="95" customWidth="1"/>
    <col min="15306" max="15306" width="7.7109375" style="95" customWidth="1"/>
    <col min="15307" max="15307" width="56.140625" style="95" customWidth="1"/>
    <col min="15308" max="15310" width="10.42578125" style="95" customWidth="1"/>
    <col min="15311" max="15311" width="12.140625" style="95" customWidth="1"/>
    <col min="15312" max="15314" width="9" style="95" hidden="1" customWidth="1"/>
    <col min="15315" max="15315" width="11.85546875" style="95" customWidth="1"/>
    <col min="15316" max="15316" width="12" style="95" customWidth="1"/>
    <col min="15317" max="15317" width="12.140625" style="95" customWidth="1"/>
    <col min="15318" max="15339" width="9" style="95" hidden="1" customWidth="1"/>
    <col min="15340" max="15350" width="9.140625" style="95" customWidth="1"/>
    <col min="15351" max="15560" width="9.140625" style="95" bestFit="1" customWidth="1"/>
    <col min="15561" max="15561" width="6.7109375" style="95" customWidth="1"/>
    <col min="15562" max="15562" width="7.7109375" style="95" customWidth="1"/>
    <col min="15563" max="15563" width="56.140625" style="95" customWidth="1"/>
    <col min="15564" max="15566" width="10.42578125" style="95" customWidth="1"/>
    <col min="15567" max="15567" width="12.140625" style="95" customWidth="1"/>
    <col min="15568" max="15570" width="9" style="95" hidden="1" customWidth="1"/>
    <col min="15571" max="15571" width="11.85546875" style="95" customWidth="1"/>
    <col min="15572" max="15572" width="12" style="95" customWidth="1"/>
    <col min="15573" max="15573" width="12.140625" style="95" customWidth="1"/>
    <col min="15574" max="15595" width="9" style="95" hidden="1" customWidth="1"/>
    <col min="15596" max="15606" width="9.140625" style="95" customWidth="1"/>
    <col min="15607" max="15816" width="9.140625" style="95" bestFit="1" customWidth="1"/>
    <col min="15817" max="15817" width="6.7109375" style="95" customWidth="1"/>
    <col min="15818" max="15818" width="7.7109375" style="95" customWidth="1"/>
    <col min="15819" max="15819" width="56.140625" style="95" customWidth="1"/>
    <col min="15820" max="15822" width="10.42578125" style="95" customWidth="1"/>
    <col min="15823" max="15823" width="12.140625" style="95" customWidth="1"/>
    <col min="15824" max="15826" width="9" style="95" hidden="1" customWidth="1"/>
    <col min="15827" max="15827" width="11.85546875" style="95" customWidth="1"/>
    <col min="15828" max="15828" width="12" style="95" customWidth="1"/>
    <col min="15829" max="15829" width="12.140625" style="95" customWidth="1"/>
    <col min="15830" max="15851" width="9" style="95" hidden="1" customWidth="1"/>
    <col min="15852" max="15862" width="9.140625" style="95" customWidth="1"/>
    <col min="15863" max="16072" width="9.140625" style="95" bestFit="1" customWidth="1"/>
    <col min="16073" max="16073" width="6.7109375" style="95" customWidth="1"/>
    <col min="16074" max="16074" width="7.7109375" style="95" customWidth="1"/>
    <col min="16075" max="16075" width="56.140625" style="95" customWidth="1"/>
    <col min="16076" max="16078" width="10.42578125" style="95" customWidth="1"/>
    <col min="16079" max="16079" width="12.140625" style="95" customWidth="1"/>
    <col min="16080" max="16082" width="9" style="95" hidden="1" customWidth="1"/>
    <col min="16083" max="16083" width="11.85546875" style="95" customWidth="1"/>
    <col min="16084" max="16084" width="12" style="95" customWidth="1"/>
    <col min="16085" max="16085" width="12.140625" style="95" customWidth="1"/>
    <col min="16086" max="16107" width="9" style="95" hidden="1" customWidth="1"/>
    <col min="16108" max="16118" width="9.140625" style="95" customWidth="1"/>
    <col min="16119" max="16361" width="9.140625" style="95" bestFit="1" customWidth="1"/>
    <col min="16362" max="16375" width="9" style="95" bestFit="1" customWidth="1"/>
    <col min="16376" max="16384" width="9.140625" style="95" bestFit="1" customWidth="1"/>
  </cols>
  <sheetData>
    <row r="1" spans="1:8" ht="18" customHeight="1" x14ac:dyDescent="0.25">
      <c r="A1" s="564" t="s">
        <v>578</v>
      </c>
      <c r="B1" s="564"/>
      <c r="C1" s="564"/>
      <c r="D1" s="564"/>
      <c r="E1" s="564"/>
      <c r="F1" s="564"/>
      <c r="G1" s="564"/>
      <c r="H1" s="564"/>
    </row>
    <row r="2" spans="1:8" ht="18" customHeight="1" x14ac:dyDescent="0.25"/>
    <row r="3" spans="1:8" ht="29.25" customHeight="1" x14ac:dyDescent="0.25">
      <c r="A3" s="565" t="s">
        <v>559</v>
      </c>
      <c r="B3" s="565" t="s">
        <v>37</v>
      </c>
      <c r="C3" s="565"/>
      <c r="D3" s="565" t="s">
        <v>226</v>
      </c>
      <c r="E3" s="565" t="s">
        <v>560</v>
      </c>
      <c r="F3" s="565"/>
      <c r="G3" s="565" t="s">
        <v>39</v>
      </c>
      <c r="H3" s="565"/>
    </row>
    <row r="4" spans="1:8" ht="29.25" hidden="1" customHeight="1" x14ac:dyDescent="0.25">
      <c r="A4" s="565"/>
      <c r="B4" s="565"/>
      <c r="C4" s="565"/>
      <c r="D4" s="565"/>
      <c r="E4" s="453"/>
      <c r="F4" s="453"/>
      <c r="G4" s="453"/>
      <c r="H4" s="453"/>
    </row>
    <row r="5" spans="1:8" ht="54" hidden="1" customHeight="1" x14ac:dyDescent="0.25">
      <c r="A5" s="565"/>
      <c r="B5" s="565"/>
      <c r="C5" s="565"/>
      <c r="D5" s="565"/>
      <c r="E5" s="453"/>
      <c r="F5" s="453"/>
      <c r="G5" s="453"/>
      <c r="H5" s="453"/>
    </row>
    <row r="6" spans="1:8" x14ac:dyDescent="0.25">
      <c r="A6" s="565"/>
      <c r="B6" s="565"/>
      <c r="C6" s="565"/>
      <c r="D6" s="565"/>
      <c r="E6" s="454" t="s">
        <v>561</v>
      </c>
      <c r="F6" s="454" t="s">
        <v>44</v>
      </c>
      <c r="G6" s="454" t="s">
        <v>562</v>
      </c>
      <c r="H6" s="454" t="s">
        <v>563</v>
      </c>
    </row>
    <row r="7" spans="1:8" x14ac:dyDescent="0.25">
      <c r="A7" s="453">
        <v>1</v>
      </c>
      <c r="B7" s="565">
        <v>2</v>
      </c>
      <c r="C7" s="565"/>
      <c r="D7" s="453">
        <v>3</v>
      </c>
      <c r="E7" s="453">
        <v>4</v>
      </c>
      <c r="F7" s="453">
        <v>5</v>
      </c>
      <c r="G7" s="453">
        <v>6</v>
      </c>
      <c r="H7" s="453">
        <v>7</v>
      </c>
    </row>
    <row r="8" spans="1:8" ht="15.75" customHeight="1" x14ac:dyDescent="0.25">
      <c r="A8" s="565">
        <v>1</v>
      </c>
      <c r="B8" s="566" t="s">
        <v>579</v>
      </c>
      <c r="C8" s="566"/>
      <c r="D8" s="453" t="s">
        <v>243</v>
      </c>
      <c r="E8" s="456">
        <v>3840.9300000000003</v>
      </c>
      <c r="F8" s="456">
        <v>83042.590000000011</v>
      </c>
      <c r="G8" s="456">
        <v>85738.44</v>
      </c>
      <c r="H8" s="456">
        <v>88179.24</v>
      </c>
    </row>
    <row r="9" spans="1:8" ht="15.75" customHeight="1" x14ac:dyDescent="0.25">
      <c r="A9" s="565"/>
      <c r="B9" s="455" t="s">
        <v>51</v>
      </c>
      <c r="C9" s="457" t="s">
        <v>108</v>
      </c>
      <c r="D9" s="453" t="s">
        <v>243</v>
      </c>
      <c r="E9" s="456">
        <v>0</v>
      </c>
      <c r="F9" s="456">
        <v>40741.160000000003</v>
      </c>
      <c r="G9" s="456">
        <v>42126.36</v>
      </c>
      <c r="H9" s="456">
        <v>43263.77</v>
      </c>
    </row>
    <row r="10" spans="1:8" ht="15.75" customHeight="1" x14ac:dyDescent="0.25">
      <c r="A10" s="565"/>
      <c r="B10" s="455" t="s">
        <v>58</v>
      </c>
      <c r="C10" s="457" t="s">
        <v>110</v>
      </c>
      <c r="D10" s="453" t="s">
        <v>243</v>
      </c>
      <c r="E10" s="456">
        <v>0</v>
      </c>
      <c r="F10" s="456">
        <v>33005.85</v>
      </c>
      <c r="G10" s="456">
        <v>33930.01</v>
      </c>
      <c r="H10" s="456">
        <v>34846.120000000003</v>
      </c>
    </row>
    <row r="11" spans="1:8" ht="15.75" customHeight="1" x14ac:dyDescent="0.25">
      <c r="A11" s="565"/>
      <c r="B11" s="455" t="s">
        <v>89</v>
      </c>
      <c r="C11" s="457" t="s">
        <v>580</v>
      </c>
      <c r="D11" s="453" t="s">
        <v>243</v>
      </c>
      <c r="E11" s="456">
        <v>3325.84</v>
      </c>
      <c r="F11" s="456">
        <v>7505.39</v>
      </c>
      <c r="G11" s="456">
        <v>7813.11</v>
      </c>
      <c r="H11" s="456">
        <v>8125.63</v>
      </c>
    </row>
    <row r="12" spans="1:8" ht="15.75" customHeight="1" x14ac:dyDescent="0.25">
      <c r="A12" s="565"/>
      <c r="B12" s="455" t="s">
        <v>91</v>
      </c>
      <c r="C12" s="457" t="s">
        <v>112</v>
      </c>
      <c r="D12" s="453" t="s">
        <v>243</v>
      </c>
      <c r="E12" s="456">
        <v>0</v>
      </c>
      <c r="F12" s="456">
        <v>0</v>
      </c>
      <c r="G12" s="456">
        <v>0</v>
      </c>
      <c r="H12" s="456">
        <v>0</v>
      </c>
    </row>
    <row r="13" spans="1:8" ht="15.75" customHeight="1" x14ac:dyDescent="0.25">
      <c r="A13" s="565"/>
      <c r="B13" s="455" t="s">
        <v>93</v>
      </c>
      <c r="C13" s="457" t="s">
        <v>581</v>
      </c>
      <c r="D13" s="453" t="s">
        <v>243</v>
      </c>
      <c r="E13" s="456">
        <v>515.09</v>
      </c>
      <c r="F13" s="456">
        <v>1790.19</v>
      </c>
      <c r="G13" s="456">
        <v>1868.96</v>
      </c>
      <c r="H13" s="456">
        <v>1943.72</v>
      </c>
    </row>
    <row r="14" spans="1:8" ht="31.5" customHeight="1" x14ac:dyDescent="0.25">
      <c r="A14" s="565">
        <v>2</v>
      </c>
      <c r="B14" s="566" t="s">
        <v>582</v>
      </c>
      <c r="C14" s="566"/>
      <c r="D14" s="453" t="s">
        <v>243</v>
      </c>
      <c r="E14" s="464">
        <v>14266.640000000001</v>
      </c>
      <c r="F14" s="464">
        <v>33589.19</v>
      </c>
      <c r="G14" s="464">
        <v>36564.82</v>
      </c>
      <c r="H14" s="464">
        <v>39963.320000000014</v>
      </c>
    </row>
    <row r="15" spans="1:8" ht="16.5" customHeight="1" x14ac:dyDescent="0.25">
      <c r="A15" s="565"/>
      <c r="B15" s="455" t="s">
        <v>100</v>
      </c>
      <c r="C15" s="457" t="s">
        <v>280</v>
      </c>
      <c r="D15" s="453" t="s">
        <v>243</v>
      </c>
      <c r="E15" s="456">
        <v>2119.04</v>
      </c>
      <c r="F15" s="456">
        <v>3734.44</v>
      </c>
      <c r="G15" s="456">
        <v>3839</v>
      </c>
      <c r="H15" s="456">
        <v>3942.66</v>
      </c>
    </row>
    <row r="16" spans="1:8" ht="15.75" customHeight="1" x14ac:dyDescent="0.25">
      <c r="A16" s="565"/>
      <c r="B16" s="455" t="s">
        <v>102</v>
      </c>
      <c r="C16" s="457" t="s">
        <v>117</v>
      </c>
      <c r="D16" s="453" t="s">
        <v>243</v>
      </c>
      <c r="E16" s="456">
        <v>135.21</v>
      </c>
      <c r="F16" s="456">
        <v>1142.07</v>
      </c>
      <c r="G16" s="456">
        <v>1185.47</v>
      </c>
      <c r="H16" s="456">
        <v>1229.3399999999999</v>
      </c>
    </row>
    <row r="17" spans="1:8" ht="15.75" customHeight="1" x14ac:dyDescent="0.25">
      <c r="A17" s="565"/>
      <c r="B17" s="455" t="s">
        <v>103</v>
      </c>
      <c r="C17" s="457" t="s">
        <v>286</v>
      </c>
      <c r="D17" s="453" t="s">
        <v>243</v>
      </c>
      <c r="E17" s="456">
        <v>7331.99</v>
      </c>
      <c r="F17" s="456">
        <v>12288.12</v>
      </c>
      <c r="G17" s="456">
        <v>12828.8</v>
      </c>
      <c r="H17" s="456">
        <v>13341.95</v>
      </c>
    </row>
    <row r="18" spans="1:8" ht="15.75" customHeight="1" x14ac:dyDescent="0.25">
      <c r="A18" s="565"/>
      <c r="B18" s="455" t="s">
        <v>291</v>
      </c>
      <c r="C18" s="458" t="s">
        <v>292</v>
      </c>
      <c r="D18" s="453" t="s">
        <v>243</v>
      </c>
      <c r="E18" s="456">
        <v>1016.27</v>
      </c>
      <c r="F18" s="456">
        <v>3124.69</v>
      </c>
      <c r="G18" s="456">
        <v>3949.68</v>
      </c>
      <c r="H18" s="456">
        <v>4967.66</v>
      </c>
    </row>
    <row r="19" spans="1:8" ht="15.75" customHeight="1" x14ac:dyDescent="0.25">
      <c r="A19" s="565"/>
      <c r="B19" s="455" t="s">
        <v>294</v>
      </c>
      <c r="C19" s="458" t="s">
        <v>295</v>
      </c>
      <c r="D19" s="453" t="s">
        <v>243</v>
      </c>
      <c r="E19" s="456">
        <v>170</v>
      </c>
      <c r="F19" s="456">
        <v>544</v>
      </c>
      <c r="G19" s="456">
        <v>564.66999999999996</v>
      </c>
      <c r="H19" s="456">
        <v>585.55999999999995</v>
      </c>
    </row>
    <row r="20" spans="1:8" ht="15.75" customHeight="1" x14ac:dyDescent="0.25">
      <c r="A20" s="565"/>
      <c r="B20" s="455" t="s">
        <v>300</v>
      </c>
      <c r="C20" s="458" t="s">
        <v>301</v>
      </c>
      <c r="D20" s="453" t="s">
        <v>243</v>
      </c>
      <c r="E20" s="456">
        <v>2223.02</v>
      </c>
      <c r="F20" s="456">
        <v>8237.93</v>
      </c>
      <c r="G20" s="456">
        <v>9474.4500000000007</v>
      </c>
      <c r="H20" s="456">
        <v>10873.43</v>
      </c>
    </row>
    <row r="21" spans="1:8" ht="15.75" customHeight="1" x14ac:dyDescent="0.25">
      <c r="A21" s="565"/>
      <c r="B21" s="455" t="s">
        <v>305</v>
      </c>
      <c r="C21" s="458" t="s">
        <v>306</v>
      </c>
      <c r="D21" s="453" t="s">
        <v>243</v>
      </c>
      <c r="E21" s="456">
        <v>0</v>
      </c>
      <c r="F21" s="456">
        <v>0</v>
      </c>
      <c r="G21" s="456">
        <v>0</v>
      </c>
      <c r="H21" s="456">
        <v>0</v>
      </c>
    </row>
    <row r="22" spans="1:8" ht="15.75" customHeight="1" x14ac:dyDescent="0.25">
      <c r="A22" s="565"/>
      <c r="B22" s="455" t="s">
        <v>308</v>
      </c>
      <c r="C22" s="458" t="s">
        <v>309</v>
      </c>
      <c r="D22" s="453" t="s">
        <v>243</v>
      </c>
      <c r="E22" s="456">
        <v>439.25</v>
      </c>
      <c r="F22" s="456">
        <v>883.08</v>
      </c>
      <c r="G22" s="456">
        <v>916.64</v>
      </c>
      <c r="H22" s="456">
        <v>950.55</v>
      </c>
    </row>
    <row r="23" spans="1:8" ht="30.75" customHeight="1" x14ac:dyDescent="0.25">
      <c r="A23" s="565"/>
      <c r="B23" s="455" t="s">
        <v>312</v>
      </c>
      <c r="C23" s="455" t="s">
        <v>313</v>
      </c>
      <c r="D23" s="453" t="s">
        <v>243</v>
      </c>
      <c r="E23" s="456">
        <v>275.76</v>
      </c>
      <c r="F23" s="456">
        <v>1424.9</v>
      </c>
      <c r="G23" s="456">
        <v>1505.54</v>
      </c>
      <c r="H23" s="456">
        <v>1679.57</v>
      </c>
    </row>
    <row r="24" spans="1:8" ht="15.75" customHeight="1" x14ac:dyDescent="0.25">
      <c r="A24" s="565"/>
      <c r="B24" s="455" t="s">
        <v>317</v>
      </c>
      <c r="C24" s="458" t="s">
        <v>119</v>
      </c>
      <c r="D24" s="453" t="s">
        <v>243</v>
      </c>
      <c r="E24" s="456">
        <v>0</v>
      </c>
      <c r="F24" s="456">
        <v>845.07</v>
      </c>
      <c r="G24" s="456">
        <v>879.72</v>
      </c>
      <c r="H24" s="456">
        <v>914.91</v>
      </c>
    </row>
    <row r="25" spans="1:8" ht="15.75" customHeight="1" x14ac:dyDescent="0.25">
      <c r="A25" s="565"/>
      <c r="B25" s="455" t="s">
        <v>320</v>
      </c>
      <c r="C25" s="458" t="s">
        <v>321</v>
      </c>
      <c r="D25" s="453" t="s">
        <v>243</v>
      </c>
      <c r="E25" s="456">
        <v>556.1</v>
      </c>
      <c r="F25" s="456">
        <v>1364.89</v>
      </c>
      <c r="G25" s="456">
        <v>1420.85</v>
      </c>
      <c r="H25" s="456">
        <v>1477.69</v>
      </c>
    </row>
    <row r="26" spans="1:8" ht="15.75" customHeight="1" x14ac:dyDescent="0.25">
      <c r="A26" s="565">
        <v>3</v>
      </c>
      <c r="B26" s="566" t="s">
        <v>322</v>
      </c>
      <c r="C26" s="566"/>
      <c r="D26" s="453" t="s">
        <v>243</v>
      </c>
      <c r="E26" s="456">
        <v>4093.3999999999996</v>
      </c>
      <c r="F26" s="456">
        <v>22387.960000000003</v>
      </c>
      <c r="G26" s="456">
        <v>23129.4</v>
      </c>
      <c r="H26" s="456">
        <v>23879.68</v>
      </c>
    </row>
    <row r="27" spans="1:8" ht="15.75" customHeight="1" x14ac:dyDescent="0.25">
      <c r="A27" s="565"/>
      <c r="B27" s="455" t="s">
        <v>62</v>
      </c>
      <c r="C27" s="457" t="s">
        <v>323</v>
      </c>
      <c r="D27" s="453" t="s">
        <v>243</v>
      </c>
      <c r="E27" s="456">
        <v>390.08</v>
      </c>
      <c r="F27" s="456">
        <v>1295.3699999999999</v>
      </c>
      <c r="G27" s="456">
        <v>1331.64</v>
      </c>
      <c r="H27" s="456">
        <v>1367.59</v>
      </c>
    </row>
    <row r="28" spans="1:8" ht="15.75" customHeight="1" x14ac:dyDescent="0.25">
      <c r="A28" s="565"/>
      <c r="B28" s="455" t="s">
        <v>64</v>
      </c>
      <c r="C28" s="457" t="s">
        <v>329</v>
      </c>
      <c r="D28" s="453" t="s">
        <v>243</v>
      </c>
      <c r="E28" s="456">
        <v>1264.58</v>
      </c>
      <c r="F28" s="456">
        <v>15790.26</v>
      </c>
      <c r="G28" s="456">
        <v>16232.39</v>
      </c>
      <c r="H28" s="456">
        <v>16670.66</v>
      </c>
    </row>
    <row r="29" spans="1:8" ht="15.75" customHeight="1" x14ac:dyDescent="0.25">
      <c r="A29" s="565"/>
      <c r="B29" s="455" t="s">
        <v>122</v>
      </c>
      <c r="C29" s="457" t="s">
        <v>339</v>
      </c>
      <c r="D29" s="453" t="s">
        <v>243</v>
      </c>
      <c r="E29" s="456">
        <v>1566.1</v>
      </c>
      <c r="F29" s="456">
        <v>3872.38</v>
      </c>
      <c r="G29" s="456">
        <v>4035.31</v>
      </c>
      <c r="H29" s="456">
        <v>4204.26</v>
      </c>
    </row>
    <row r="30" spans="1:8" ht="15.75" customHeight="1" x14ac:dyDescent="0.25">
      <c r="A30" s="565"/>
      <c r="B30" s="455" t="s">
        <v>124</v>
      </c>
      <c r="C30" s="455" t="s">
        <v>345</v>
      </c>
      <c r="D30" s="453" t="s">
        <v>243</v>
      </c>
      <c r="E30" s="456">
        <v>872.64</v>
      </c>
      <c r="F30" s="456">
        <v>1429.95</v>
      </c>
      <c r="G30" s="456">
        <v>1530.06</v>
      </c>
      <c r="H30" s="456">
        <v>1637.17</v>
      </c>
    </row>
    <row r="31" spans="1:8" ht="15.75" customHeight="1" x14ac:dyDescent="0.25">
      <c r="A31" s="453">
        <v>4</v>
      </c>
      <c r="B31" s="566" t="s">
        <v>348</v>
      </c>
      <c r="C31" s="566"/>
      <c r="D31" s="453" t="s">
        <v>243</v>
      </c>
      <c r="E31" s="456">
        <v>43778.49</v>
      </c>
      <c r="F31" s="456">
        <v>93881.77</v>
      </c>
      <c r="G31" s="456">
        <v>93881.77</v>
      </c>
      <c r="H31" s="456">
        <v>93881.77</v>
      </c>
    </row>
    <row r="32" spans="1:8" ht="15.75" customHeight="1" x14ac:dyDescent="0.25">
      <c r="A32" s="453">
        <v>5</v>
      </c>
      <c r="B32" s="566" t="s">
        <v>349</v>
      </c>
      <c r="C32" s="566"/>
      <c r="D32" s="453" t="s">
        <v>243</v>
      </c>
      <c r="E32" s="456">
        <v>13527.55</v>
      </c>
      <c r="F32" s="456">
        <v>29009.47</v>
      </c>
      <c r="G32" s="456">
        <v>29009.47</v>
      </c>
      <c r="H32" s="456">
        <v>29009.47</v>
      </c>
    </row>
    <row r="33" spans="1:8" ht="15.75" customHeight="1" x14ac:dyDescent="0.25">
      <c r="A33" s="453">
        <v>6</v>
      </c>
      <c r="B33" s="566" t="s">
        <v>350</v>
      </c>
      <c r="C33" s="566"/>
      <c r="D33" s="453" t="s">
        <v>243</v>
      </c>
      <c r="E33" s="456">
        <v>7105.09</v>
      </c>
      <c r="F33" s="456">
        <v>14651.42</v>
      </c>
      <c r="G33" s="456">
        <v>17366.46</v>
      </c>
      <c r="H33" s="456">
        <v>17366.46</v>
      </c>
    </row>
    <row r="34" spans="1:8" ht="15.75" customHeight="1" x14ac:dyDescent="0.25">
      <c r="A34" s="565">
        <v>7</v>
      </c>
      <c r="B34" s="566" t="s">
        <v>351</v>
      </c>
      <c r="C34" s="566"/>
      <c r="D34" s="453" t="s">
        <v>243</v>
      </c>
      <c r="E34" s="456">
        <v>415</v>
      </c>
      <c r="F34" s="456">
        <v>2810</v>
      </c>
      <c r="G34" s="456">
        <v>1362.4</v>
      </c>
      <c r="H34" s="456">
        <v>1416.9</v>
      </c>
    </row>
    <row r="35" spans="1:8" ht="30" customHeight="1" x14ac:dyDescent="0.25">
      <c r="A35" s="565"/>
      <c r="B35" s="455" t="s">
        <v>352</v>
      </c>
      <c r="C35" s="457" t="s">
        <v>353</v>
      </c>
      <c r="D35" s="453" t="s">
        <v>243</v>
      </c>
      <c r="E35" s="456">
        <v>415</v>
      </c>
      <c r="F35" s="456">
        <v>2810</v>
      </c>
      <c r="G35" s="456">
        <v>1362.4</v>
      </c>
      <c r="H35" s="456">
        <v>1416.9</v>
      </c>
    </row>
    <row r="36" spans="1:8" ht="29.25" customHeight="1" x14ac:dyDescent="0.25">
      <c r="A36" s="565"/>
      <c r="B36" s="455" t="s">
        <v>355</v>
      </c>
      <c r="C36" s="457" t="s">
        <v>356</v>
      </c>
      <c r="D36" s="453" t="s">
        <v>243</v>
      </c>
      <c r="E36" s="456">
        <v>0</v>
      </c>
      <c r="F36" s="456">
        <v>0</v>
      </c>
      <c r="G36" s="456">
        <v>0</v>
      </c>
      <c r="H36" s="456">
        <v>0</v>
      </c>
    </row>
    <row r="37" spans="1:8" ht="15.75" customHeight="1" x14ac:dyDescent="0.25">
      <c r="A37" s="565">
        <v>8</v>
      </c>
      <c r="B37" s="566" t="s">
        <v>357</v>
      </c>
      <c r="C37" s="566"/>
      <c r="D37" s="453" t="s">
        <v>243</v>
      </c>
      <c r="E37" s="456">
        <v>320</v>
      </c>
      <c r="F37" s="456">
        <v>2365</v>
      </c>
      <c r="G37" s="456">
        <v>3439.6</v>
      </c>
      <c r="H37" s="456">
        <v>4377.18</v>
      </c>
    </row>
    <row r="38" spans="1:8" ht="15.75" customHeight="1" x14ac:dyDescent="0.25">
      <c r="A38" s="565"/>
      <c r="B38" s="455" t="s">
        <v>358</v>
      </c>
      <c r="C38" s="457" t="s">
        <v>359</v>
      </c>
      <c r="D38" s="453" t="s">
        <v>243</v>
      </c>
      <c r="E38" s="456">
        <v>320</v>
      </c>
      <c r="F38" s="456">
        <v>2365</v>
      </c>
      <c r="G38" s="456">
        <v>3439.6</v>
      </c>
      <c r="H38" s="456">
        <v>4377.18</v>
      </c>
    </row>
    <row r="39" spans="1:8" ht="15" customHeight="1" x14ac:dyDescent="0.25">
      <c r="A39" s="565"/>
      <c r="B39" s="455" t="s">
        <v>363</v>
      </c>
      <c r="C39" s="455" t="s">
        <v>364</v>
      </c>
      <c r="D39" s="453" t="s">
        <v>243</v>
      </c>
      <c r="E39" s="456">
        <v>0</v>
      </c>
      <c r="F39" s="456">
        <v>0</v>
      </c>
      <c r="G39" s="456">
        <v>0</v>
      </c>
      <c r="H39" s="456">
        <v>0</v>
      </c>
    </row>
    <row r="40" spans="1:8" ht="24.75" customHeight="1" x14ac:dyDescent="0.25">
      <c r="A40" s="453">
        <v>9</v>
      </c>
      <c r="B40" s="566" t="s">
        <v>583</v>
      </c>
      <c r="C40" s="566"/>
      <c r="D40" s="453" t="s">
        <v>243</v>
      </c>
      <c r="E40" s="456"/>
      <c r="F40" s="456"/>
      <c r="G40" s="456"/>
      <c r="H40" s="456"/>
    </row>
    <row r="41" spans="1:8" ht="18" customHeight="1" x14ac:dyDescent="0.25">
      <c r="A41" s="565">
        <v>10</v>
      </c>
      <c r="B41" s="566" t="s">
        <v>584</v>
      </c>
      <c r="C41" s="566"/>
      <c r="D41" s="453" t="s">
        <v>243</v>
      </c>
      <c r="E41" s="456">
        <v>1920.4399999999998</v>
      </c>
      <c r="F41" s="456">
        <v>3494.73</v>
      </c>
      <c r="G41" s="456">
        <v>3495.36</v>
      </c>
      <c r="H41" s="456">
        <v>3496.01</v>
      </c>
    </row>
    <row r="42" spans="1:8" ht="15.75" customHeight="1" x14ac:dyDescent="0.25">
      <c r="A42" s="565"/>
      <c r="B42" s="455" t="s">
        <v>367</v>
      </c>
      <c r="C42" s="457" t="s">
        <v>160</v>
      </c>
      <c r="D42" s="453" t="s">
        <v>243</v>
      </c>
      <c r="E42" s="456">
        <v>1.3</v>
      </c>
      <c r="F42" s="456">
        <v>2.6</v>
      </c>
      <c r="G42" s="456">
        <v>2.71</v>
      </c>
      <c r="H42" s="456">
        <v>2.82</v>
      </c>
    </row>
    <row r="43" spans="1:8" ht="15.75" customHeight="1" x14ac:dyDescent="0.25">
      <c r="A43" s="565"/>
      <c r="B43" s="455" t="s">
        <v>369</v>
      </c>
      <c r="C43" s="457" t="s">
        <v>162</v>
      </c>
      <c r="D43" s="453" t="s">
        <v>243</v>
      </c>
      <c r="E43" s="456">
        <v>40.29</v>
      </c>
      <c r="F43" s="456">
        <v>80.58</v>
      </c>
      <c r="G43" s="456">
        <v>80.58</v>
      </c>
      <c r="H43" s="456">
        <v>80.58</v>
      </c>
    </row>
    <row r="44" spans="1:8" ht="15.75" customHeight="1" x14ac:dyDescent="0.25">
      <c r="A44" s="565"/>
      <c r="B44" s="455" t="s">
        <v>370</v>
      </c>
      <c r="C44" s="457" t="s">
        <v>164</v>
      </c>
      <c r="D44" s="453" t="s">
        <v>243</v>
      </c>
      <c r="E44" s="456">
        <v>1865.85</v>
      </c>
      <c r="F44" s="456">
        <v>3398.55</v>
      </c>
      <c r="G44" s="456">
        <v>3398.55</v>
      </c>
      <c r="H44" s="456">
        <v>3398.55</v>
      </c>
    </row>
    <row r="45" spans="1:8" x14ac:dyDescent="0.25">
      <c r="A45" s="565"/>
      <c r="B45" s="455" t="s">
        <v>585</v>
      </c>
      <c r="C45" s="457" t="s">
        <v>586</v>
      </c>
      <c r="D45" s="453" t="s">
        <v>243</v>
      </c>
      <c r="E45" s="456">
        <v>13</v>
      </c>
      <c r="F45" s="456">
        <v>13</v>
      </c>
      <c r="G45" s="456">
        <v>13.52</v>
      </c>
      <c r="H45" s="456">
        <v>14.06</v>
      </c>
    </row>
    <row r="46" spans="1:8" ht="18" customHeight="1" x14ac:dyDescent="0.25">
      <c r="A46" s="565">
        <v>11</v>
      </c>
      <c r="B46" s="566" t="s">
        <v>587</v>
      </c>
      <c r="C46" s="566"/>
      <c r="D46" s="453" t="s">
        <v>243</v>
      </c>
      <c r="E46" s="456">
        <v>10357.24</v>
      </c>
      <c r="F46" s="456">
        <v>96561.389999999985</v>
      </c>
      <c r="G46" s="456">
        <v>100791.55</v>
      </c>
      <c r="H46" s="456">
        <v>108975.03000000001</v>
      </c>
    </row>
    <row r="47" spans="1:8" ht="48.75" customHeight="1" x14ac:dyDescent="0.25">
      <c r="A47" s="565"/>
      <c r="B47" s="455" t="s">
        <v>76</v>
      </c>
      <c r="C47" s="459" t="s">
        <v>152</v>
      </c>
      <c r="D47" s="453" t="s">
        <v>243</v>
      </c>
      <c r="E47" s="456">
        <v>1352.26</v>
      </c>
      <c r="F47" s="456">
        <v>2528.66</v>
      </c>
      <c r="G47" s="456">
        <v>2473.81</v>
      </c>
      <c r="H47" s="456">
        <v>2572.7600000000002</v>
      </c>
    </row>
    <row r="48" spans="1:8" ht="30" customHeight="1" x14ac:dyDescent="0.25">
      <c r="A48" s="565"/>
      <c r="B48" s="455" t="s">
        <v>78</v>
      </c>
      <c r="C48" s="459" t="s">
        <v>134</v>
      </c>
      <c r="D48" s="453" t="s">
        <v>243</v>
      </c>
      <c r="E48" s="456">
        <v>863.62</v>
      </c>
      <c r="F48" s="456">
        <v>6255.88</v>
      </c>
      <c r="G48" s="456">
        <v>6531.14</v>
      </c>
      <c r="H48" s="456">
        <v>6792.39</v>
      </c>
    </row>
    <row r="49" spans="1:8" ht="30.75" customHeight="1" x14ac:dyDescent="0.25">
      <c r="A49" s="565"/>
      <c r="B49" s="455" t="s">
        <v>80</v>
      </c>
      <c r="C49" s="459" t="s">
        <v>136</v>
      </c>
      <c r="D49" s="453" t="s">
        <v>243</v>
      </c>
      <c r="E49" s="456">
        <v>2155.9899999999998</v>
      </c>
      <c r="F49" s="456">
        <v>68890.36</v>
      </c>
      <c r="G49" s="456">
        <v>71921.53</v>
      </c>
      <c r="H49" s="456">
        <v>74798.390000000014</v>
      </c>
    </row>
    <row r="50" spans="1:8" ht="20.25" customHeight="1" x14ac:dyDescent="0.25">
      <c r="A50" s="565"/>
      <c r="B50" s="455" t="s">
        <v>428</v>
      </c>
      <c r="C50" s="459" t="s">
        <v>138</v>
      </c>
      <c r="D50" s="453" t="s">
        <v>243</v>
      </c>
      <c r="E50" s="456">
        <v>1917</v>
      </c>
      <c r="F50" s="456">
        <v>60321.77</v>
      </c>
      <c r="G50" s="456">
        <v>62975.93</v>
      </c>
      <c r="H50" s="456">
        <v>65494.97</v>
      </c>
    </row>
    <row r="51" spans="1:8" ht="18" customHeight="1" x14ac:dyDescent="0.25">
      <c r="A51" s="565"/>
      <c r="B51" s="455" t="s">
        <v>432</v>
      </c>
      <c r="C51" s="459" t="s">
        <v>140</v>
      </c>
      <c r="D51" s="453" t="s">
        <v>243</v>
      </c>
      <c r="E51" s="456">
        <v>0</v>
      </c>
      <c r="F51" s="456">
        <v>1043.81</v>
      </c>
      <c r="G51" s="456">
        <v>1089.73</v>
      </c>
      <c r="H51" s="456">
        <v>1133.32</v>
      </c>
    </row>
    <row r="52" spans="1:8" ht="18" customHeight="1" x14ac:dyDescent="0.25">
      <c r="A52" s="565"/>
      <c r="B52" s="455" t="s">
        <v>434</v>
      </c>
      <c r="C52" s="459" t="s">
        <v>142</v>
      </c>
      <c r="D52" s="453" t="s">
        <v>243</v>
      </c>
      <c r="E52" s="456">
        <v>0</v>
      </c>
      <c r="F52" s="456">
        <v>0</v>
      </c>
      <c r="G52" s="456">
        <v>0</v>
      </c>
      <c r="H52" s="456">
        <v>0</v>
      </c>
    </row>
    <row r="53" spans="1:8" ht="15.75" customHeight="1" x14ac:dyDescent="0.25">
      <c r="A53" s="565"/>
      <c r="B53" s="455" t="s">
        <v>435</v>
      </c>
      <c r="C53" s="459" t="s">
        <v>144</v>
      </c>
      <c r="D53" s="453" t="s">
        <v>243</v>
      </c>
      <c r="E53" s="456">
        <v>238.99</v>
      </c>
      <c r="F53" s="456">
        <v>7524.78</v>
      </c>
      <c r="G53" s="456">
        <v>7855.87</v>
      </c>
      <c r="H53" s="456">
        <v>8170.1</v>
      </c>
    </row>
    <row r="54" spans="1:8" ht="16.5" customHeight="1" x14ac:dyDescent="0.25">
      <c r="A54" s="565"/>
      <c r="B54" s="455" t="s">
        <v>438</v>
      </c>
      <c r="C54" s="459" t="s">
        <v>146</v>
      </c>
      <c r="D54" s="453" t="s">
        <v>243</v>
      </c>
      <c r="E54" s="456">
        <v>0</v>
      </c>
      <c r="F54" s="456">
        <v>0</v>
      </c>
      <c r="G54" s="456">
        <v>0</v>
      </c>
      <c r="H54" s="456">
        <v>0</v>
      </c>
    </row>
    <row r="55" spans="1:8" ht="18" customHeight="1" x14ac:dyDescent="0.25">
      <c r="A55" s="565"/>
      <c r="B55" s="455" t="s">
        <v>441</v>
      </c>
      <c r="C55" s="459" t="s">
        <v>148</v>
      </c>
      <c r="D55" s="453" t="s">
        <v>243</v>
      </c>
      <c r="E55" s="456">
        <v>0</v>
      </c>
      <c r="F55" s="456">
        <v>0</v>
      </c>
      <c r="G55" s="456">
        <v>0</v>
      </c>
      <c r="H55" s="456">
        <v>0</v>
      </c>
    </row>
    <row r="56" spans="1:8" ht="28.5" customHeight="1" x14ac:dyDescent="0.25">
      <c r="A56" s="565"/>
      <c r="B56" s="455" t="s">
        <v>82</v>
      </c>
      <c r="C56" s="459" t="s">
        <v>442</v>
      </c>
      <c r="D56" s="453" t="s">
        <v>243</v>
      </c>
      <c r="E56" s="456">
        <v>924.65</v>
      </c>
      <c r="F56" s="456">
        <v>3018.29</v>
      </c>
      <c r="G56" s="456">
        <v>3151.1</v>
      </c>
      <c r="H56" s="456">
        <v>3277.14</v>
      </c>
    </row>
    <row r="57" spans="1:8" ht="18" customHeight="1" x14ac:dyDescent="0.25">
      <c r="A57" s="565"/>
      <c r="B57" s="455" t="s">
        <v>445</v>
      </c>
      <c r="C57" s="457" t="s">
        <v>185</v>
      </c>
      <c r="D57" s="453" t="s">
        <v>243</v>
      </c>
      <c r="E57" s="456">
        <v>224.18</v>
      </c>
      <c r="F57" s="456">
        <v>317.37</v>
      </c>
      <c r="G57" s="456">
        <v>334.83</v>
      </c>
      <c r="H57" s="456">
        <v>349.89</v>
      </c>
    </row>
    <row r="58" spans="1:8" ht="18" customHeight="1" x14ac:dyDescent="0.25">
      <c r="A58" s="565"/>
      <c r="B58" s="455" t="s">
        <v>450</v>
      </c>
      <c r="C58" s="460" t="s">
        <v>588</v>
      </c>
      <c r="D58" s="453" t="s">
        <v>243</v>
      </c>
      <c r="E58" s="456">
        <v>0</v>
      </c>
      <c r="F58" s="456">
        <v>0</v>
      </c>
      <c r="G58" s="456">
        <v>0</v>
      </c>
      <c r="H58" s="456">
        <v>0</v>
      </c>
    </row>
    <row r="59" spans="1:8" ht="30" x14ac:dyDescent="0.25">
      <c r="A59" s="565"/>
      <c r="B59" s="455" t="s">
        <v>452</v>
      </c>
      <c r="C59" s="459" t="s">
        <v>189</v>
      </c>
      <c r="D59" s="453" t="s">
        <v>243</v>
      </c>
      <c r="E59" s="456">
        <v>445</v>
      </c>
      <c r="F59" s="456">
        <v>866.57</v>
      </c>
      <c r="G59" s="456">
        <v>896.9</v>
      </c>
      <c r="H59" s="456">
        <v>928.29</v>
      </c>
    </row>
    <row r="60" spans="1:8" ht="15.75" customHeight="1" x14ac:dyDescent="0.25">
      <c r="A60" s="565"/>
      <c r="B60" s="455" t="s">
        <v>461</v>
      </c>
      <c r="C60" s="460" t="s">
        <v>191</v>
      </c>
      <c r="D60" s="453" t="s">
        <v>243</v>
      </c>
      <c r="E60" s="456">
        <v>460.73</v>
      </c>
      <c r="F60" s="456">
        <v>1424.64</v>
      </c>
      <c r="G60" s="456">
        <v>1474.51</v>
      </c>
      <c r="H60" s="456">
        <v>1526.11</v>
      </c>
    </row>
    <row r="61" spans="1:8" ht="16.149999999999999" customHeight="1" x14ac:dyDescent="0.25">
      <c r="A61" s="565"/>
      <c r="B61" s="455" t="s">
        <v>473</v>
      </c>
      <c r="C61" s="457" t="s">
        <v>193</v>
      </c>
      <c r="D61" s="453" t="s">
        <v>243</v>
      </c>
      <c r="E61" s="456">
        <v>467.35</v>
      </c>
      <c r="F61" s="456">
        <v>899.79</v>
      </c>
      <c r="G61" s="456">
        <v>939.38</v>
      </c>
      <c r="H61" s="456">
        <v>976.96</v>
      </c>
    </row>
    <row r="62" spans="1:8" ht="18" customHeight="1" x14ac:dyDescent="0.25">
      <c r="A62" s="565"/>
      <c r="B62" s="455" t="s">
        <v>477</v>
      </c>
      <c r="C62" s="457" t="s">
        <v>195</v>
      </c>
      <c r="D62" s="453" t="s">
        <v>243</v>
      </c>
      <c r="E62" s="456">
        <v>2355.4100000000003</v>
      </c>
      <c r="F62" s="456">
        <v>6018.36</v>
      </c>
      <c r="G62" s="456">
        <v>6218.33</v>
      </c>
      <c r="H62" s="456">
        <v>6467.0999999999995</v>
      </c>
    </row>
    <row r="63" spans="1:8" x14ac:dyDescent="0.25">
      <c r="A63" s="565"/>
      <c r="B63" s="455" t="s">
        <v>478</v>
      </c>
      <c r="C63" s="457" t="s">
        <v>479</v>
      </c>
      <c r="D63" s="453" t="s">
        <v>243</v>
      </c>
      <c r="E63" s="456">
        <v>188.72</v>
      </c>
      <c r="F63" s="456">
        <v>480.96</v>
      </c>
      <c r="G63" s="456">
        <v>494.01</v>
      </c>
      <c r="H63" s="456">
        <v>513.77</v>
      </c>
    </row>
    <row r="64" spans="1:8" ht="30" x14ac:dyDescent="0.25">
      <c r="A64" s="565"/>
      <c r="B64" s="455" t="s">
        <v>481</v>
      </c>
      <c r="C64" s="457" t="s">
        <v>482</v>
      </c>
      <c r="D64" s="453" t="s">
        <v>243</v>
      </c>
      <c r="E64" s="456">
        <v>51.97</v>
      </c>
      <c r="F64" s="456">
        <v>191.15</v>
      </c>
      <c r="G64" s="456">
        <v>200.72</v>
      </c>
      <c r="H64" s="456">
        <v>210.77</v>
      </c>
    </row>
    <row r="65" spans="1:8" ht="16.149999999999999" customHeight="1" x14ac:dyDescent="0.25">
      <c r="A65" s="565"/>
      <c r="B65" s="455" t="s">
        <v>483</v>
      </c>
      <c r="C65" s="457" t="s">
        <v>484</v>
      </c>
      <c r="D65" s="453" t="s">
        <v>243</v>
      </c>
      <c r="E65" s="456">
        <v>901.24</v>
      </c>
      <c r="F65" s="456">
        <v>2581.98</v>
      </c>
      <c r="G65" s="456">
        <v>2643.48</v>
      </c>
      <c r="H65" s="456">
        <v>2749.22</v>
      </c>
    </row>
    <row r="66" spans="1:8" ht="45" x14ac:dyDescent="0.25">
      <c r="A66" s="565"/>
      <c r="B66" s="455" t="s">
        <v>485</v>
      </c>
      <c r="C66" s="461" t="s">
        <v>197</v>
      </c>
      <c r="D66" s="453" t="s">
        <v>243</v>
      </c>
      <c r="E66" s="456">
        <v>756.43</v>
      </c>
      <c r="F66" s="456">
        <v>1865.32</v>
      </c>
      <c r="G66" s="456">
        <v>1938.02</v>
      </c>
      <c r="H66" s="456">
        <v>2013.55</v>
      </c>
    </row>
    <row r="67" spans="1:8" x14ac:dyDescent="0.25">
      <c r="A67" s="565"/>
      <c r="B67" s="455" t="s">
        <v>494</v>
      </c>
      <c r="C67" s="457" t="s">
        <v>199</v>
      </c>
      <c r="D67" s="453" t="s">
        <v>243</v>
      </c>
      <c r="E67" s="456">
        <v>330</v>
      </c>
      <c r="F67" s="456">
        <v>660</v>
      </c>
      <c r="G67" s="456">
        <v>691.68</v>
      </c>
      <c r="H67" s="456">
        <v>719.35</v>
      </c>
    </row>
    <row r="68" spans="1:8" x14ac:dyDescent="0.25">
      <c r="A68" s="565"/>
      <c r="B68" s="455" t="s">
        <v>497</v>
      </c>
      <c r="C68" s="457" t="s">
        <v>201</v>
      </c>
      <c r="D68" s="453" t="s">
        <v>243</v>
      </c>
      <c r="E68" s="456">
        <v>0</v>
      </c>
      <c r="F68" s="456">
        <v>0</v>
      </c>
      <c r="G68" s="456">
        <v>0</v>
      </c>
      <c r="H68" s="456">
        <v>0</v>
      </c>
    </row>
    <row r="69" spans="1:8" x14ac:dyDescent="0.25">
      <c r="A69" s="565"/>
      <c r="B69" s="455" t="s">
        <v>499</v>
      </c>
      <c r="C69" s="457" t="s">
        <v>203</v>
      </c>
      <c r="D69" s="453" t="s">
        <v>243</v>
      </c>
      <c r="E69" s="456">
        <v>127.05</v>
      </c>
      <c r="F69" s="456">
        <v>238.95</v>
      </c>
      <c r="G69" s="456">
        <v>250.42</v>
      </c>
      <c r="H69" s="456">
        <v>260.44</v>
      </c>
    </row>
    <row r="70" spans="1:8" ht="17.25" customHeight="1" x14ac:dyDescent="0.25">
      <c r="A70" s="565"/>
      <c r="B70" s="455" t="s">
        <v>501</v>
      </c>
      <c r="C70" s="457" t="s">
        <v>207</v>
      </c>
      <c r="D70" s="453" t="s">
        <v>243</v>
      </c>
      <c r="E70" s="456">
        <v>18.64</v>
      </c>
      <c r="F70" s="456">
        <v>316.2</v>
      </c>
      <c r="G70" s="456">
        <v>330.11</v>
      </c>
      <c r="H70" s="456">
        <v>343.32</v>
      </c>
    </row>
    <row r="71" spans="1:8" ht="17.25" customHeight="1" x14ac:dyDescent="0.25">
      <c r="A71" s="565"/>
      <c r="B71" s="455" t="s">
        <v>504</v>
      </c>
      <c r="C71" s="457" t="s">
        <v>209</v>
      </c>
      <c r="D71" s="453" t="s">
        <v>243</v>
      </c>
      <c r="E71" s="456">
        <v>565.78</v>
      </c>
      <c r="F71" s="456">
        <v>767.12</v>
      </c>
      <c r="G71" s="456">
        <v>800.87</v>
      </c>
      <c r="H71" s="456">
        <v>832.9</v>
      </c>
    </row>
    <row r="72" spans="1:8" ht="17.25" customHeight="1" x14ac:dyDescent="0.25">
      <c r="A72" s="565"/>
      <c r="B72" s="455" t="s">
        <v>514</v>
      </c>
      <c r="C72" s="457" t="s">
        <v>211</v>
      </c>
      <c r="D72" s="453" t="s">
        <v>243</v>
      </c>
      <c r="E72" s="456">
        <v>116.08</v>
      </c>
      <c r="F72" s="456">
        <v>328.69</v>
      </c>
      <c r="G72" s="456">
        <v>346.77</v>
      </c>
      <c r="H72" s="456">
        <v>362.37</v>
      </c>
    </row>
    <row r="73" spans="1:8" ht="29.25" customHeight="1" x14ac:dyDescent="0.25">
      <c r="A73" s="565"/>
      <c r="B73" s="455" t="s">
        <v>515</v>
      </c>
      <c r="C73" s="461" t="s">
        <v>213</v>
      </c>
      <c r="D73" s="453" t="s">
        <v>243</v>
      </c>
      <c r="E73" s="456">
        <v>289</v>
      </c>
      <c r="F73" s="456">
        <v>1208</v>
      </c>
      <c r="G73" s="456">
        <v>1507</v>
      </c>
      <c r="H73" s="456">
        <v>1936.08</v>
      </c>
    </row>
    <row r="74" spans="1:8" ht="18" customHeight="1" x14ac:dyDescent="0.25">
      <c r="A74" s="565"/>
      <c r="B74" s="455" t="s">
        <v>517</v>
      </c>
      <c r="C74" s="457" t="s">
        <v>220</v>
      </c>
      <c r="D74" s="453" t="s">
        <v>243</v>
      </c>
      <c r="E74" s="456">
        <v>118.55</v>
      </c>
      <c r="F74" s="456">
        <v>213.86</v>
      </c>
      <c r="G74" s="456">
        <v>213.86</v>
      </c>
      <c r="H74" s="456">
        <v>4013.86</v>
      </c>
    </row>
    <row r="75" spans="1:8" ht="40.15" customHeight="1" x14ac:dyDescent="0.25">
      <c r="A75" s="565"/>
      <c r="B75" s="455" t="s">
        <v>519</v>
      </c>
      <c r="C75" s="457" t="s">
        <v>571</v>
      </c>
      <c r="D75" s="453" t="s">
        <v>243</v>
      </c>
      <c r="E75" s="456">
        <v>0</v>
      </c>
      <c r="F75" s="456">
        <v>3507.6</v>
      </c>
      <c r="G75" s="456">
        <v>3651.41</v>
      </c>
      <c r="H75" s="456">
        <v>3797.47</v>
      </c>
    </row>
    <row r="76" spans="1:8" ht="27" customHeight="1" x14ac:dyDescent="0.25">
      <c r="A76" s="565">
        <v>12</v>
      </c>
      <c r="B76" s="567" t="s">
        <v>589</v>
      </c>
      <c r="C76" s="567"/>
      <c r="D76" s="462" t="s">
        <v>590</v>
      </c>
      <c r="E76" s="464">
        <v>99624.78</v>
      </c>
      <c r="F76" s="464">
        <v>381793.52</v>
      </c>
      <c r="G76" s="464">
        <v>394779.27</v>
      </c>
      <c r="H76" s="464">
        <v>410545.06000000006</v>
      </c>
    </row>
    <row r="77" spans="1:8" ht="18" customHeight="1" x14ac:dyDescent="0.25">
      <c r="A77" s="565"/>
      <c r="B77" s="455" t="s">
        <v>521</v>
      </c>
      <c r="C77" s="457" t="s">
        <v>522</v>
      </c>
      <c r="D77" s="453" t="s">
        <v>243</v>
      </c>
      <c r="E77" s="456">
        <v>7786.79</v>
      </c>
      <c r="F77" s="456">
        <v>170160.65000000002</v>
      </c>
      <c r="G77" s="456">
        <v>176409.47</v>
      </c>
      <c r="H77" s="456">
        <v>182245.22000000003</v>
      </c>
    </row>
    <row r="78" spans="1:8" ht="18" customHeight="1" x14ac:dyDescent="0.25">
      <c r="A78" s="565"/>
      <c r="B78" s="455" t="s">
        <v>523</v>
      </c>
      <c r="C78" s="457" t="s">
        <v>524</v>
      </c>
      <c r="D78" s="453" t="s">
        <v>243</v>
      </c>
      <c r="E78" s="456">
        <v>91837.99</v>
      </c>
      <c r="F78" s="456">
        <v>211632.87</v>
      </c>
      <c r="G78" s="456">
        <v>218369.80000000002</v>
      </c>
      <c r="H78" s="456">
        <v>228299.84000000003</v>
      </c>
    </row>
    <row r="79" spans="1:8" ht="18" customHeight="1" x14ac:dyDescent="0.25">
      <c r="A79" s="453"/>
      <c r="B79" s="566" t="s">
        <v>525</v>
      </c>
      <c r="C79" s="566"/>
      <c r="D79" s="453" t="s">
        <v>243</v>
      </c>
      <c r="E79" s="456"/>
      <c r="F79" s="456"/>
      <c r="G79" s="456"/>
      <c r="H79" s="456"/>
    </row>
    <row r="80" spans="1:8" ht="21.75" customHeight="1" x14ac:dyDescent="0.25">
      <c r="A80" s="565">
        <v>13</v>
      </c>
      <c r="B80" s="566" t="s">
        <v>591</v>
      </c>
      <c r="C80" s="566"/>
      <c r="D80" s="453" t="s">
        <v>243</v>
      </c>
      <c r="E80" s="456">
        <v>50532.735700000005</v>
      </c>
      <c r="F80" s="456">
        <v>386815.75329999998</v>
      </c>
      <c r="G80" s="456">
        <v>403815.83024520002</v>
      </c>
      <c r="H80" s="456">
        <v>419968.46345500799</v>
      </c>
    </row>
    <row r="81" spans="1:8" ht="22.15" customHeight="1" x14ac:dyDescent="0.25">
      <c r="A81" s="565"/>
      <c r="B81" s="455" t="s">
        <v>527</v>
      </c>
      <c r="C81" s="455" t="s">
        <v>13</v>
      </c>
      <c r="D81" s="453" t="s">
        <v>243</v>
      </c>
      <c r="E81" s="456">
        <v>0</v>
      </c>
      <c r="F81" s="456">
        <v>274683.28999999998</v>
      </c>
      <c r="G81" s="456">
        <v>286769.35476000002</v>
      </c>
      <c r="H81" s="456">
        <v>298240.12895039999</v>
      </c>
    </row>
    <row r="82" spans="1:8" ht="22.15" customHeight="1" x14ac:dyDescent="0.25">
      <c r="A82" s="565"/>
      <c r="B82" s="455" t="s">
        <v>528</v>
      </c>
      <c r="C82" s="457" t="s">
        <v>256</v>
      </c>
      <c r="D82" s="453" t="s">
        <v>243</v>
      </c>
      <c r="E82" s="456">
        <v>5818.6651999999995</v>
      </c>
      <c r="F82" s="456">
        <v>11428.7678</v>
      </c>
      <c r="G82" s="456">
        <v>11931.6335832</v>
      </c>
      <c r="H82" s="456">
        <v>12408.898926528</v>
      </c>
    </row>
    <row r="83" spans="1:8" ht="25.15" customHeight="1" x14ac:dyDescent="0.25">
      <c r="A83" s="565"/>
      <c r="B83" s="455" t="s">
        <v>529</v>
      </c>
      <c r="C83" s="457" t="s">
        <v>59</v>
      </c>
      <c r="D83" s="453" t="s">
        <v>243</v>
      </c>
      <c r="E83" s="456">
        <v>44714.070500000002</v>
      </c>
      <c r="F83" s="456">
        <v>94098.295500000007</v>
      </c>
      <c r="G83" s="456">
        <v>98238.620502000005</v>
      </c>
      <c r="H83" s="456">
        <v>102168.16532208001</v>
      </c>
    </row>
    <row r="84" spans="1:8" ht="42" customHeight="1" x14ac:dyDescent="0.25">
      <c r="A84" s="453"/>
      <c r="B84" s="455" t="s">
        <v>592</v>
      </c>
      <c r="C84" s="457" t="s">
        <v>571</v>
      </c>
      <c r="D84" s="453" t="s">
        <v>243</v>
      </c>
      <c r="E84" s="456">
        <v>0</v>
      </c>
      <c r="F84" s="456">
        <v>6605.4</v>
      </c>
      <c r="G84" s="456">
        <v>6876.2213999999994</v>
      </c>
      <c r="H84" s="456">
        <v>7151.2702559999998</v>
      </c>
    </row>
    <row r="85" spans="1:8" ht="27.75" customHeight="1" x14ac:dyDescent="0.25">
      <c r="A85" s="565">
        <v>14</v>
      </c>
      <c r="B85" s="568" t="s">
        <v>593</v>
      </c>
      <c r="C85" s="568"/>
      <c r="D85" s="453" t="s">
        <v>531</v>
      </c>
      <c r="E85" s="456">
        <v>1.9714895427678178</v>
      </c>
      <c r="F85" s="456">
        <v>0.98701647164792461</v>
      </c>
      <c r="G85" s="456">
        <v>0.97762210005557992</v>
      </c>
      <c r="H85" s="456">
        <v>0.97756168790036413</v>
      </c>
    </row>
    <row r="86" spans="1:8" ht="22.15" customHeight="1" x14ac:dyDescent="0.25">
      <c r="A86" s="565"/>
      <c r="B86" s="455" t="s">
        <v>532</v>
      </c>
      <c r="C86" s="455" t="s">
        <v>13</v>
      </c>
      <c r="D86" s="453" t="s">
        <v>531</v>
      </c>
      <c r="E86" s="456"/>
      <c r="F86" s="456">
        <v>1.0664594486253607</v>
      </c>
      <c r="G86" s="456">
        <v>1.0502836687416202</v>
      </c>
      <c r="H86" s="456">
        <v>1.0473274039254035</v>
      </c>
    </row>
    <row r="87" spans="1:8" ht="22.15" customHeight="1" x14ac:dyDescent="0.25">
      <c r="A87" s="565"/>
      <c r="B87" s="455" t="s">
        <v>533</v>
      </c>
      <c r="C87" s="457" t="s">
        <v>256</v>
      </c>
      <c r="D87" s="453" t="s">
        <v>531</v>
      </c>
      <c r="E87" s="456">
        <v>0.15972391743728442</v>
      </c>
      <c r="F87" s="456">
        <v>8.1213479549387638E-2</v>
      </c>
      <c r="G87" s="456">
        <v>8.069976280161302E-2</v>
      </c>
      <c r="H87" s="456">
        <v>8.2289331716372399E-2</v>
      </c>
    </row>
    <row r="88" spans="1:8" ht="25.15" customHeight="1" x14ac:dyDescent="0.25">
      <c r="A88" s="565"/>
      <c r="B88" s="455" t="s">
        <v>534</v>
      </c>
      <c r="C88" s="457" t="s">
        <v>59</v>
      </c>
      <c r="D88" s="453" t="s">
        <v>531</v>
      </c>
      <c r="E88" s="456">
        <v>0.91987330923048027</v>
      </c>
      <c r="F88" s="456">
        <v>0.86961628332576968</v>
      </c>
      <c r="G88" s="456">
        <v>0.87877781221736961</v>
      </c>
      <c r="H88" s="456">
        <v>0.88743748812728629</v>
      </c>
    </row>
    <row r="89" spans="1:8" ht="45" customHeight="1" x14ac:dyDescent="0.25">
      <c r="A89" s="565"/>
      <c r="B89" s="455" t="s">
        <v>594</v>
      </c>
      <c r="C89" s="457" t="s">
        <v>571</v>
      </c>
      <c r="D89" s="453" t="s">
        <v>531</v>
      </c>
      <c r="E89" s="456"/>
      <c r="F89" s="456">
        <v>0.92308565718957225</v>
      </c>
      <c r="G89" s="456">
        <v>0.91580966255682239</v>
      </c>
      <c r="H89" s="456">
        <v>0.90907485904976826</v>
      </c>
    </row>
    <row r="90" spans="1:8" ht="18" customHeight="1" x14ac:dyDescent="0.25"/>
    <row r="91" spans="1:8" ht="18" customHeight="1" x14ac:dyDescent="0.25"/>
    <row r="92" spans="1:8" ht="18" customHeight="1" x14ac:dyDescent="0.25"/>
    <row r="93" spans="1:8" ht="18" customHeight="1" x14ac:dyDescent="0.25"/>
    <row r="94" spans="1:8" ht="18" customHeight="1" x14ac:dyDescent="0.25"/>
    <row r="95" spans="1:8" ht="18" customHeight="1" x14ac:dyDescent="0.25"/>
    <row r="96" spans="1:8" ht="18" customHeight="1" x14ac:dyDescent="0.25"/>
  </sheetData>
  <mergeCells count="32">
    <mergeCell ref="A41:A45"/>
    <mergeCell ref="A37:A39"/>
    <mergeCell ref="A26:A30"/>
    <mergeCell ref="A14:A25"/>
    <mergeCell ref="A8:A13"/>
    <mergeCell ref="A34:A36"/>
    <mergeCell ref="B46:C46"/>
    <mergeCell ref="A85:A89"/>
    <mergeCell ref="A80:A83"/>
    <mergeCell ref="A76:A78"/>
    <mergeCell ref="A46:A75"/>
    <mergeCell ref="B76:C76"/>
    <mergeCell ref="B79:C79"/>
    <mergeCell ref="B80:C80"/>
    <mergeCell ref="B85:C85"/>
    <mergeCell ref="B32:C32"/>
    <mergeCell ref="B33:C33"/>
    <mergeCell ref="B34:C34"/>
    <mergeCell ref="B40:C40"/>
    <mergeCell ref="B41:C41"/>
    <mergeCell ref="B37:C37"/>
    <mergeCell ref="B7:C7"/>
    <mergeCell ref="B8:C8"/>
    <mergeCell ref="B14:C14"/>
    <mergeCell ref="B26:C26"/>
    <mergeCell ref="B31:C31"/>
    <mergeCell ref="A1:H1"/>
    <mergeCell ref="G3:H3"/>
    <mergeCell ref="E3:F3"/>
    <mergeCell ref="D3:D6"/>
    <mergeCell ref="B3:C6"/>
    <mergeCell ref="A3:A6"/>
  </mergeCells>
  <pageMargins left="0.70866137742996205" right="0.31496062874794001" top="0.55118107795715299" bottom="0.55118107795715299" header="0.31496062874794001" footer="0.31496062874794001"/>
  <pageSetup paperSize="9" scale="71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12</vt:i4>
      </vt:variant>
    </vt:vector>
  </HeadingPairs>
  <TitlesOfParts>
    <vt:vector size="29" baseType="lpstr">
      <vt:lpstr>Титул</vt:lpstr>
      <vt:lpstr>Р 1</vt:lpstr>
      <vt:lpstr>Р 2</vt:lpstr>
      <vt:lpstr>Р 3</vt:lpstr>
      <vt:lpstr>ПЭД</vt:lpstr>
      <vt:lpstr>Лист3</vt:lpstr>
      <vt:lpstr>Титульный</vt:lpstr>
      <vt:lpstr>Раздел 1</vt:lpstr>
      <vt:lpstr>Раздел 2</vt:lpstr>
      <vt:lpstr>Раздел 3</vt:lpstr>
      <vt:lpstr>Показатели ЭД</vt:lpstr>
      <vt:lpstr>Тр-й налог</vt:lpstr>
      <vt:lpstr>Загрязнение</vt:lpstr>
      <vt:lpstr>расх на персонал</vt:lpstr>
      <vt:lpstr>капитаны</vt:lpstr>
      <vt:lpstr>НГ подарки</vt:lpstr>
      <vt:lpstr>питание</vt:lpstr>
      <vt:lpstr>'Р 1'!Z_89F018B7_0164_4C13_BB93_F842B9310875_.wvu.PrintTitles</vt:lpstr>
      <vt:lpstr>питание!Область_печати</vt:lpstr>
      <vt:lpstr>'Показатели ЭД'!Область_печати</vt:lpstr>
      <vt:lpstr>'Р 1'!Область_печати</vt:lpstr>
      <vt:lpstr>'Р 2'!Область_печати</vt:lpstr>
      <vt:lpstr>'Р 3'!Область_печати</vt:lpstr>
      <vt:lpstr>'Раздел 1'!Область_печати</vt:lpstr>
      <vt:lpstr>'Раздел 2'!Область_печати</vt:lpstr>
      <vt:lpstr>'Раздел 3'!Область_печати</vt:lpstr>
      <vt:lpstr>Титул!Область_печати</vt:lpstr>
      <vt:lpstr>Титульный!Область_печати</vt:lpstr>
      <vt:lpstr>'Тр-й налог'!Область_печати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kotlyarova</cp:lastModifiedBy>
  <cp:lastPrinted>2024-12-09T03:36:29Z</cp:lastPrinted>
  <dcterms:modified xsi:type="dcterms:W3CDTF">2024-12-09T03:36:37Z</dcterms:modified>
</cp:coreProperties>
</file>