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3" sheetId="3" r:id="rId2"/>
  </sheets>
  <externalReferences>
    <externalReference r:id="rId3"/>
  </externalReferences>
  <definedNames>
    <definedName name="_xlnm.Print_Titles" localSheetId="0">Лист1!$11:$13</definedName>
  </definedNames>
  <calcPr calcId="145621"/>
</workbook>
</file>

<file path=xl/calcChain.xml><?xml version="1.0" encoding="utf-8"?>
<calcChain xmlns="http://schemas.openxmlformats.org/spreadsheetml/2006/main">
  <c r="Q33" i="1" l="1"/>
  <c r="O29" i="1"/>
  <c r="O33" i="1"/>
  <c r="M33" i="1"/>
  <c r="H33" i="1"/>
  <c r="F33" i="1"/>
  <c r="R33" i="1" l="1"/>
  <c r="I33" i="1"/>
  <c r="D64" i="1"/>
  <c r="S33" i="1" l="1"/>
  <c r="F64" i="1"/>
  <c r="K64" i="1"/>
  <c r="M72" i="1" l="1"/>
  <c r="K24" i="1"/>
  <c r="C38" i="1"/>
  <c r="S72" i="1" l="1"/>
  <c r="R72" i="1"/>
  <c r="O38" i="1"/>
  <c r="O64" i="1"/>
  <c r="K38" i="1"/>
  <c r="H64" i="1"/>
  <c r="I64" i="1" s="1"/>
  <c r="O24" i="1"/>
  <c r="M24" i="1"/>
  <c r="Q66" i="1"/>
  <c r="O66" i="1"/>
  <c r="M66" i="1"/>
  <c r="K66" i="1"/>
  <c r="H66" i="1"/>
  <c r="F66" i="1"/>
  <c r="D66" i="1"/>
  <c r="I66" i="1" s="1"/>
  <c r="R24" i="1" l="1"/>
  <c r="R66" i="1"/>
  <c r="M38" i="1"/>
  <c r="R38" i="1" s="1"/>
  <c r="K63" i="1"/>
  <c r="R63" i="1" s="1"/>
  <c r="S66" i="1" l="1"/>
  <c r="O65" i="1"/>
  <c r="M64" i="1"/>
  <c r="R64" i="1" s="1"/>
  <c r="S65" i="1" l="1"/>
  <c r="R65" i="1"/>
  <c r="S64" i="1"/>
  <c r="R74" i="1" l="1"/>
  <c r="I74" i="1"/>
  <c r="H71" i="1"/>
  <c r="H68" i="1"/>
  <c r="H67" i="1"/>
  <c r="H60" i="1"/>
  <c r="H58" i="1"/>
  <c r="H54" i="1"/>
  <c r="H51" i="1"/>
  <c r="H50" i="1"/>
  <c r="H49" i="1"/>
  <c r="H48" i="1"/>
  <c r="H47" i="1"/>
  <c r="H43" i="1"/>
  <c r="H35" i="1"/>
  <c r="H34" i="1"/>
  <c r="H32" i="1"/>
  <c r="I32" i="1" s="1"/>
  <c r="S32" i="1" s="1"/>
  <c r="H28" i="1"/>
  <c r="H26" i="1"/>
  <c r="H22" i="1"/>
  <c r="H21" i="1"/>
  <c r="H17" i="1"/>
  <c r="H15" i="1"/>
  <c r="C14" i="1"/>
  <c r="C15" i="1"/>
  <c r="C16" i="1"/>
  <c r="C17" i="1"/>
  <c r="C18" i="1"/>
  <c r="C19" i="1"/>
  <c r="C20" i="1"/>
  <c r="C21" i="1"/>
  <c r="C22" i="1"/>
  <c r="C23" i="1"/>
  <c r="D24" i="1"/>
  <c r="C25" i="1"/>
  <c r="C26" i="1"/>
  <c r="C27" i="1"/>
  <c r="C29" i="1"/>
  <c r="C30" i="1"/>
  <c r="C31" i="1"/>
  <c r="C34" i="1"/>
  <c r="C35" i="1"/>
  <c r="C36" i="1"/>
  <c r="C37" i="1"/>
  <c r="C41" i="1"/>
  <c r="C42" i="1"/>
  <c r="C43" i="1"/>
  <c r="C44" i="1"/>
  <c r="C45" i="1"/>
  <c r="C46" i="1"/>
  <c r="C47" i="1"/>
  <c r="C48" i="1"/>
  <c r="C49" i="1"/>
  <c r="C51" i="1"/>
  <c r="C53" i="1"/>
  <c r="C54" i="1"/>
  <c r="C55" i="1"/>
  <c r="C56" i="1"/>
  <c r="C57" i="1"/>
  <c r="C58" i="1"/>
  <c r="C59" i="1"/>
  <c r="C60" i="1"/>
  <c r="C61" i="1"/>
  <c r="C62" i="1"/>
  <c r="C63" i="1"/>
  <c r="C67" i="1"/>
  <c r="C68" i="1"/>
  <c r="C70" i="1"/>
  <c r="C71" i="1"/>
  <c r="S74" i="1" l="1"/>
  <c r="C73" i="1"/>
  <c r="H24" i="1"/>
  <c r="F71" i="1"/>
  <c r="F68" i="1"/>
  <c r="F67" i="1"/>
  <c r="F63" i="1"/>
  <c r="F62" i="1"/>
  <c r="F60" i="1"/>
  <c r="F58" i="1"/>
  <c r="F54" i="1"/>
  <c r="F51" i="1"/>
  <c r="F50" i="1"/>
  <c r="F49" i="1"/>
  <c r="F48" i="1"/>
  <c r="F47" i="1"/>
  <c r="F43" i="1"/>
  <c r="F35" i="1"/>
  <c r="F34" i="1"/>
  <c r="F31" i="1"/>
  <c r="F28" i="1"/>
  <c r="I28" i="1" s="1"/>
  <c r="S28" i="1" s="1"/>
  <c r="F27" i="1"/>
  <c r="F26" i="1"/>
  <c r="F21" i="1"/>
  <c r="F17" i="1"/>
  <c r="F15" i="1"/>
  <c r="D40" i="1"/>
  <c r="D39" i="1"/>
  <c r="D15" i="1"/>
  <c r="I50" i="1" l="1"/>
  <c r="S50" i="1" s="1"/>
  <c r="I15" i="1"/>
  <c r="S15" i="1" s="1"/>
  <c r="D71" i="1"/>
  <c r="P42" i="1"/>
  <c r="Q42" i="1" s="1"/>
  <c r="P69" i="1"/>
  <c r="Q69" i="1" s="1"/>
  <c r="P39" i="1"/>
  <c r="Q39" i="1" s="1"/>
  <c r="P37" i="1"/>
  <c r="Q37" i="1" s="1"/>
  <c r="P26" i="1"/>
  <c r="Q26" i="1" s="1"/>
  <c r="N58" i="1"/>
  <c r="O58" i="1" s="1"/>
  <c r="N69" i="1"/>
  <c r="O69" i="1" s="1"/>
  <c r="N70" i="1"/>
  <c r="O70" i="1" s="1"/>
  <c r="N53" i="1"/>
  <c r="O53" i="1" s="1"/>
  <c r="N42" i="1"/>
  <c r="O42" i="1" s="1"/>
  <c r="O39" i="1"/>
  <c r="N37" i="1"/>
  <c r="O37" i="1" s="1"/>
  <c r="N36" i="1"/>
  <c r="O36" i="1" s="1"/>
  <c r="N26" i="1"/>
  <c r="O26" i="1" s="1"/>
  <c r="N20" i="1"/>
  <c r="O20" i="1" s="1"/>
  <c r="L37" i="1"/>
  <c r="M37" i="1" s="1"/>
  <c r="M39" i="1"/>
  <c r="L42" i="1"/>
  <c r="M42" i="1" s="1"/>
  <c r="L36" i="1"/>
  <c r="M36" i="1" s="1"/>
  <c r="L26" i="1"/>
  <c r="M26" i="1" s="1"/>
  <c r="L20" i="1"/>
  <c r="M20" i="1" s="1"/>
  <c r="L70" i="1"/>
  <c r="M70" i="1" s="1"/>
  <c r="L58" i="1"/>
  <c r="M58" i="1" s="1"/>
  <c r="L53" i="1"/>
  <c r="M53" i="1" s="1"/>
  <c r="J70" i="1"/>
  <c r="K70" i="1" s="1"/>
  <c r="J58" i="1"/>
  <c r="K58" i="1" s="1"/>
  <c r="J53" i="1"/>
  <c r="K53" i="1" s="1"/>
  <c r="J42" i="1"/>
  <c r="K42" i="1" s="1"/>
  <c r="K39" i="1"/>
  <c r="J37" i="1"/>
  <c r="K37" i="1" s="1"/>
  <c r="J36" i="1"/>
  <c r="K36" i="1" s="1"/>
  <c r="J26" i="1"/>
  <c r="K26" i="1" s="1"/>
  <c r="J20" i="1"/>
  <c r="K20" i="1" s="1"/>
  <c r="D46" i="1"/>
  <c r="D47" i="1"/>
  <c r="I47" i="1" s="1"/>
  <c r="S47" i="1" s="1"/>
  <c r="D48" i="1"/>
  <c r="I48" i="1" s="1"/>
  <c r="S48" i="1" s="1"/>
  <c r="D49" i="1"/>
  <c r="I49" i="1" s="1"/>
  <c r="S49" i="1" s="1"/>
  <c r="D35" i="1"/>
  <c r="I35" i="1" s="1"/>
  <c r="S35" i="1" s="1"/>
  <c r="D34" i="1"/>
  <c r="I34" i="1" s="1"/>
  <c r="S34" i="1" s="1"/>
  <c r="D26" i="1"/>
  <c r="I26" i="1" s="1"/>
  <c r="D22" i="1"/>
  <c r="D21" i="1"/>
  <c r="I21" i="1" s="1"/>
  <c r="S21" i="1" s="1"/>
  <c r="D17" i="1"/>
  <c r="I17" i="1" s="1"/>
  <c r="S17" i="1" s="1"/>
  <c r="D68" i="1"/>
  <c r="I68" i="1" s="1"/>
  <c r="S68" i="1" s="1"/>
  <c r="D61" i="1"/>
  <c r="D60" i="1"/>
  <c r="I60" i="1" s="1"/>
  <c r="S60" i="1" s="1"/>
  <c r="D58" i="1"/>
  <c r="I58" i="1" s="1"/>
  <c r="D54" i="1"/>
  <c r="I54" i="1" s="1"/>
  <c r="S54" i="1" s="1"/>
  <c r="D51" i="1"/>
  <c r="I51" i="1" s="1"/>
  <c r="S51" i="1" s="1"/>
  <c r="R36" i="1" l="1"/>
  <c r="I71" i="1"/>
  <c r="S71" i="1" s="1"/>
  <c r="O73" i="1"/>
  <c r="O75" i="1" s="1"/>
  <c r="N73" i="1"/>
  <c r="R39" i="1"/>
  <c r="R26" i="1"/>
  <c r="R53" i="1"/>
  <c r="R58" i="1"/>
  <c r="S58" i="1" s="1"/>
  <c r="R20" i="1"/>
  <c r="R70" i="1"/>
  <c r="R37" i="1"/>
  <c r="R42" i="1"/>
  <c r="R69" i="1"/>
  <c r="S69" i="1" s="1"/>
  <c r="J73" i="1"/>
  <c r="L73" i="1"/>
  <c r="M73" i="1"/>
  <c r="M75" i="1" s="1"/>
  <c r="P73" i="1"/>
  <c r="Q73" i="1"/>
  <c r="Q75" i="1" s="1"/>
  <c r="G70" i="1"/>
  <c r="H70" i="1" s="1"/>
  <c r="E70" i="1"/>
  <c r="F70" i="1" s="1"/>
  <c r="D70" i="1"/>
  <c r="D67" i="1"/>
  <c r="I67" i="1" s="1"/>
  <c r="S67" i="1" s="1"/>
  <c r="G63" i="1"/>
  <c r="H63" i="1" s="1"/>
  <c r="D63" i="1"/>
  <c r="G62" i="1"/>
  <c r="H62" i="1" s="1"/>
  <c r="D62" i="1"/>
  <c r="G61" i="1"/>
  <c r="H61" i="1" s="1"/>
  <c r="E61" i="1"/>
  <c r="F61" i="1" s="1"/>
  <c r="G59" i="1"/>
  <c r="H59" i="1" s="1"/>
  <c r="E59" i="1"/>
  <c r="F59" i="1" s="1"/>
  <c r="D59" i="1"/>
  <c r="G57" i="1"/>
  <c r="H57" i="1" s="1"/>
  <c r="E57" i="1"/>
  <c r="F57" i="1" s="1"/>
  <c r="D57" i="1"/>
  <c r="G56" i="1"/>
  <c r="H56" i="1" s="1"/>
  <c r="E56" i="1"/>
  <c r="F56" i="1" s="1"/>
  <c r="D56" i="1"/>
  <c r="G55" i="1"/>
  <c r="H55" i="1" s="1"/>
  <c r="E55" i="1"/>
  <c r="F55" i="1" s="1"/>
  <c r="D55" i="1"/>
  <c r="G53" i="1"/>
  <c r="H53" i="1" s="1"/>
  <c r="E53" i="1"/>
  <c r="F53" i="1" s="1"/>
  <c r="D53" i="1"/>
  <c r="G52" i="1"/>
  <c r="H52" i="1" s="1"/>
  <c r="E52" i="1"/>
  <c r="F52" i="1" s="1"/>
  <c r="G46" i="1"/>
  <c r="H46" i="1" s="1"/>
  <c r="E46" i="1"/>
  <c r="F46" i="1" s="1"/>
  <c r="G45" i="1"/>
  <c r="H45" i="1" s="1"/>
  <c r="E45" i="1"/>
  <c r="F45" i="1" s="1"/>
  <c r="D45" i="1"/>
  <c r="G44" i="1"/>
  <c r="H44" i="1" s="1"/>
  <c r="E44" i="1"/>
  <c r="F44" i="1" s="1"/>
  <c r="D44" i="1"/>
  <c r="D43" i="1"/>
  <c r="I43" i="1" s="1"/>
  <c r="S43" i="1" s="1"/>
  <c r="G42" i="1"/>
  <c r="H42" i="1" s="1"/>
  <c r="E42" i="1"/>
  <c r="F42" i="1" s="1"/>
  <c r="D42" i="1"/>
  <c r="G41" i="1"/>
  <c r="H41" i="1" s="1"/>
  <c r="E41" i="1"/>
  <c r="F41" i="1" s="1"/>
  <c r="D41" i="1"/>
  <c r="G40" i="1"/>
  <c r="H40" i="1" s="1"/>
  <c r="E40" i="1"/>
  <c r="F40" i="1" s="1"/>
  <c r="G39" i="1"/>
  <c r="H39" i="1" s="1"/>
  <c r="F39" i="1"/>
  <c r="H38" i="1"/>
  <c r="E38" i="1"/>
  <c r="F38" i="1" s="1"/>
  <c r="D38" i="1"/>
  <c r="G37" i="1"/>
  <c r="H37" i="1" s="1"/>
  <c r="E37" i="1"/>
  <c r="F37" i="1" s="1"/>
  <c r="D37" i="1"/>
  <c r="G36" i="1"/>
  <c r="H36" i="1" s="1"/>
  <c r="E36" i="1"/>
  <c r="F36" i="1" s="1"/>
  <c r="D36" i="1"/>
  <c r="G31" i="1"/>
  <c r="H31" i="1" s="1"/>
  <c r="D31" i="1"/>
  <c r="G30" i="1"/>
  <c r="H30" i="1" s="1"/>
  <c r="E30" i="1"/>
  <c r="F30" i="1" s="1"/>
  <c r="D30" i="1"/>
  <c r="H29" i="1"/>
  <c r="E29" i="1"/>
  <c r="F29" i="1" s="1"/>
  <c r="D29" i="1"/>
  <c r="G27" i="1"/>
  <c r="H27" i="1" s="1"/>
  <c r="D27" i="1"/>
  <c r="G25" i="1"/>
  <c r="H25" i="1" s="1"/>
  <c r="E25" i="1"/>
  <c r="F25" i="1" s="1"/>
  <c r="D25" i="1"/>
  <c r="F24" i="1"/>
  <c r="I24" i="1" s="1"/>
  <c r="S24" i="1" s="1"/>
  <c r="G23" i="1"/>
  <c r="H23" i="1" s="1"/>
  <c r="E23" i="1"/>
  <c r="F23" i="1" s="1"/>
  <c r="D23" i="1"/>
  <c r="E22" i="1"/>
  <c r="F22" i="1" s="1"/>
  <c r="I22" i="1" s="1"/>
  <c r="S22" i="1" s="1"/>
  <c r="G20" i="1"/>
  <c r="H20" i="1" s="1"/>
  <c r="E20" i="1"/>
  <c r="F20" i="1" s="1"/>
  <c r="D20" i="1"/>
  <c r="G19" i="1"/>
  <c r="H19" i="1" s="1"/>
  <c r="E19" i="1"/>
  <c r="F19" i="1" s="1"/>
  <c r="D19" i="1"/>
  <c r="G18" i="1"/>
  <c r="H18" i="1" s="1"/>
  <c r="E18" i="1"/>
  <c r="F18" i="1" s="1"/>
  <c r="D18" i="1"/>
  <c r="G16" i="1"/>
  <c r="H16" i="1" s="1"/>
  <c r="E16" i="1"/>
  <c r="F16" i="1" s="1"/>
  <c r="D16" i="1"/>
  <c r="G14" i="1"/>
  <c r="E14" i="1"/>
  <c r="S26" i="1" l="1"/>
  <c r="R73" i="1"/>
  <c r="I38" i="1"/>
  <c r="S38" i="1" s="1"/>
  <c r="I20" i="1"/>
  <c r="S20" i="1" s="1"/>
  <c r="I37" i="1"/>
  <c r="S37" i="1" s="1"/>
  <c r="I63" i="1"/>
  <c r="S63" i="1" s="1"/>
  <c r="I16" i="1"/>
  <c r="S16" i="1" s="1"/>
  <c r="I31" i="1"/>
  <c r="S31" i="1" s="1"/>
  <c r="I52" i="1"/>
  <c r="S52" i="1" s="1"/>
  <c r="I23" i="1"/>
  <c r="S23" i="1" s="1"/>
  <c r="I39" i="1"/>
  <c r="S39" i="1" s="1"/>
  <c r="I55" i="1"/>
  <c r="S55" i="1" s="1"/>
  <c r="I27" i="1"/>
  <c r="S27" i="1" s="1"/>
  <c r="I29" i="1"/>
  <c r="S29" i="1" s="1"/>
  <c r="I41" i="1"/>
  <c r="S41" i="1" s="1"/>
  <c r="I45" i="1"/>
  <c r="S45" i="1" s="1"/>
  <c r="I53" i="1"/>
  <c r="S53" i="1" s="1"/>
  <c r="I59" i="1"/>
  <c r="S59" i="1" s="1"/>
  <c r="I62" i="1"/>
  <c r="S62" i="1" s="1"/>
  <c r="K73" i="1"/>
  <c r="I19" i="1"/>
  <c r="S19" i="1" s="1"/>
  <c r="I40" i="1"/>
  <c r="S40" i="1" s="1"/>
  <c r="I18" i="1"/>
  <c r="S18" i="1" s="1"/>
  <c r="I36" i="1"/>
  <c r="S36" i="1" s="1"/>
  <c r="I46" i="1"/>
  <c r="S46" i="1" s="1"/>
  <c r="I57" i="1"/>
  <c r="S57" i="1" s="1"/>
  <c r="I61" i="1"/>
  <c r="S61" i="1" s="1"/>
  <c r="I70" i="1"/>
  <c r="S70" i="1" s="1"/>
  <c r="I25" i="1"/>
  <c r="S25" i="1" s="1"/>
  <c r="I30" i="1"/>
  <c r="S30" i="1" s="1"/>
  <c r="I42" i="1"/>
  <c r="S42" i="1" s="1"/>
  <c r="I44" i="1"/>
  <c r="S44" i="1" s="1"/>
  <c r="I56" i="1"/>
  <c r="S56" i="1" s="1"/>
  <c r="G73" i="1"/>
  <c r="H14" i="1"/>
  <c r="E73" i="1"/>
  <c r="F14" i="1"/>
  <c r="F73" i="1" s="1"/>
  <c r="F75" i="1" s="1"/>
  <c r="D14" i="1"/>
  <c r="D73" i="1" s="1"/>
  <c r="D75" i="1" s="1"/>
  <c r="H73" i="1" l="1"/>
  <c r="I14" i="1"/>
  <c r="K75" i="1"/>
  <c r="R75" i="1" s="1"/>
  <c r="S14" i="1" l="1"/>
  <c r="I73" i="1"/>
  <c r="H75" i="1"/>
  <c r="I75" i="1" s="1"/>
  <c r="S75" i="1" s="1"/>
  <c r="S73" i="1"/>
</calcChain>
</file>

<file path=xl/sharedStrings.xml><?xml version="1.0" encoding="utf-8"?>
<sst xmlns="http://schemas.openxmlformats.org/spreadsheetml/2006/main" count="86" uniqueCount="83">
  <si>
    <t>№ п/п</t>
  </si>
  <si>
    <t>Наименование        хозяйства</t>
  </si>
  <si>
    <t>Реки бассейна реки Енисей</t>
  </si>
  <si>
    <t>Озера бассейна реки Енисей</t>
  </si>
  <si>
    <t>ИП Алекберов Азер А.</t>
  </si>
  <si>
    <t>ИП Алекберов Адалат А.</t>
  </si>
  <si>
    <t>ИП Болин Я.И.</t>
  </si>
  <si>
    <t>ИП Быстров А.А.</t>
  </si>
  <si>
    <t>ИП Глазунов А.В.</t>
  </si>
  <si>
    <t>ИП Редин Ю.С.</t>
  </si>
  <si>
    <t>ИП Рокачинский В.М.</t>
  </si>
  <si>
    <t>ИП Сержантов С.В.</t>
  </si>
  <si>
    <t>ИП Токарева А.И.</t>
  </si>
  <si>
    <t>ИП Тулин Л.С.</t>
  </si>
  <si>
    <t>ИП Фефелов А.Ю.</t>
  </si>
  <si>
    <t>ИП Шувалов В.В.</t>
  </si>
  <si>
    <t>ИП Яндо М.В.</t>
  </si>
  <si>
    <t>ИП Яр Г.Г.</t>
  </si>
  <si>
    <t>ООО "Валерий"</t>
  </si>
  <si>
    <t>ООО "Варк"</t>
  </si>
  <si>
    <t>ООО "Евгения"</t>
  </si>
  <si>
    <t>ООО "Енисей"</t>
  </si>
  <si>
    <t xml:space="preserve">ООО "Жулдус"    </t>
  </si>
  <si>
    <t>ООО "Норд"</t>
  </si>
  <si>
    <t>ООО "НордЛанд"</t>
  </si>
  <si>
    <t xml:space="preserve">ООО "Саяны" </t>
  </si>
  <si>
    <t>ООО "Северная гавань"</t>
  </si>
  <si>
    <t>ОСПК "Яра-Танама"</t>
  </si>
  <si>
    <t>СПРА "Воронцово"</t>
  </si>
  <si>
    <t>СРПХ "Нумги"</t>
  </si>
  <si>
    <t>СРПХ "Черкан"</t>
  </si>
  <si>
    <t>СХА "Заря"</t>
  </si>
  <si>
    <t>ИП Агеева Н.В.</t>
  </si>
  <si>
    <t>ИП Андрюшина Л.Н.</t>
  </si>
  <si>
    <t>ИП Бетту Д.Г.</t>
  </si>
  <si>
    <t>ИП Бетту С.И.</t>
  </si>
  <si>
    <t>ИП Бурнашов В.Н.</t>
  </si>
  <si>
    <t>ИП Дружинин С.Н.</t>
  </si>
  <si>
    <t>ИП Дохов Х.Х.</t>
  </si>
  <si>
    <t>ИП Дудко С.А.</t>
  </si>
  <si>
    <t>ИП Иванов А.Г.</t>
  </si>
  <si>
    <t>ИП Кох К.В.</t>
  </si>
  <si>
    <t>ИП Красовский В.А.</t>
  </si>
  <si>
    <t>ИП Красовский С.А.</t>
  </si>
  <si>
    <t>ИП Нечеухин М.В.</t>
  </si>
  <si>
    <t>ИП Поротов О.В.</t>
  </si>
  <si>
    <t>ИП Райш В.Г.</t>
  </si>
  <si>
    <t>ИП Сабанцев П.Б.</t>
  </si>
  <si>
    <t>ИП Сидельникова А.М.</t>
  </si>
  <si>
    <t>ИП Ходжаева О.Д.</t>
  </si>
  <si>
    <t>ОКМН "Мукустур"</t>
  </si>
  <si>
    <t>ООО "Сопка"</t>
  </si>
  <si>
    <t>ООО "ТРК"</t>
  </si>
  <si>
    <t>ООО "Электра-Т"</t>
  </si>
  <si>
    <t>ООО "ПХ "Пясино"</t>
  </si>
  <si>
    <t>СРО КМНС "Тиртя Лимбя"</t>
  </si>
  <si>
    <t>СХА "Левинские  пески"</t>
  </si>
  <si>
    <t>ИП Вэнго В.Н.</t>
  </si>
  <si>
    <t>Распределено</t>
  </si>
  <si>
    <t>Лимит</t>
  </si>
  <si>
    <t>Резерв</t>
  </si>
  <si>
    <t>Пелядь, доля в %</t>
  </si>
  <si>
    <t>Сиг, доля в %</t>
  </si>
  <si>
    <t>Итого по рекам бассейна реки Енисей</t>
  </si>
  <si>
    <t>Чир, доля %</t>
  </si>
  <si>
    <t>Чир,доля в %</t>
  </si>
  <si>
    <t>Итого по озерам бассейна реки Енисей</t>
  </si>
  <si>
    <t>Итого по бассейну реки Енисей</t>
  </si>
  <si>
    <t xml:space="preserve">пелядь </t>
  </si>
  <si>
    <t>в тоннах</t>
  </si>
  <si>
    <t>сиг</t>
  </si>
  <si>
    <t>чир</t>
  </si>
  <si>
    <t>пелядь</t>
  </si>
  <si>
    <t>гольцы</t>
  </si>
  <si>
    <t>ООО "Енисейский залив"</t>
  </si>
  <si>
    <t>ООО "Агро-Маркет"</t>
  </si>
  <si>
    <t>ООО "Дары Ангары"</t>
  </si>
  <si>
    <t>Сиг, доля %</t>
  </si>
  <si>
    <t>Гольцы, доля в %</t>
  </si>
  <si>
    <t>СРО КМНС "Агапа"</t>
  </si>
  <si>
    <t>ООО "Милена"</t>
  </si>
  <si>
    <t xml:space="preserve">Распределение объемов части общего допустимого улова водных биоресурсов, утвержденных применительно к квотам добычи (вылова) водных биоресурсов в водных объектах бассейна реки Енисей, между лицами, с которыми заключены договоры о закреплении доли квоты добычи (вылова) водных биоресурсов, осуществляющими промышленное рыболовство в водных объектах бассейна реки Енисей, на 2025 год </t>
  </si>
  <si>
    <t xml:space="preserve">Приложение 1 к постановлению                                                                                    Администрации муниципального района                                                                                     от 24.12.2024 № 1677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</si>
</sst>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textRotation="90"/>
    </xf>
    <xf numFmtId="0" fontId="2" fillId="2" borderId="0" xfId="0" applyFont="1" applyFill="1" applyAlignment="1">
      <alignment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 textRotation="90"/>
    </xf>
    <xf numFmtId="0" fontId="2" fillId="0" borderId="32" xfId="0" applyFont="1" applyFill="1" applyBorder="1" applyAlignment="1">
      <alignment horizontal="center" vertical="center" textRotation="90"/>
    </xf>
    <xf numFmtId="0" fontId="0" fillId="0" borderId="0" xfId="0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64" fontId="3" fillId="2" borderId="32" xfId="0" applyNumberFormat="1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164" fontId="3" fillId="2" borderId="35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27" xfId="0" applyNumberFormat="1" applyFont="1" applyFill="1" applyBorder="1" applyAlignment="1">
      <alignment horizontal="center" vertical="center"/>
    </xf>
    <xf numFmtId="164" fontId="3" fillId="2" borderId="38" xfId="0" applyNumberFormat="1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 vertical="center" textRotation="90" wrapText="1"/>
    </xf>
    <xf numFmtId="0" fontId="2" fillId="0" borderId="35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45" xfId="0" applyFont="1" applyFill="1" applyBorder="1" applyAlignment="1">
      <alignment horizontal="center" vertical="center" textRotation="90"/>
    </xf>
    <xf numFmtId="0" fontId="2" fillId="0" borderId="45" xfId="0" applyFont="1" applyFill="1" applyBorder="1" applyAlignment="1">
      <alignment horizontal="center" vertical="center" textRotation="90" wrapText="1"/>
    </xf>
    <xf numFmtId="0" fontId="2" fillId="0" borderId="46" xfId="0" applyFont="1" applyFill="1" applyBorder="1" applyAlignment="1">
      <alignment horizontal="center" vertical="center" textRotation="90"/>
    </xf>
    <xf numFmtId="0" fontId="2" fillId="0" borderId="34" xfId="0" applyFont="1" applyFill="1" applyBorder="1" applyAlignment="1">
      <alignment horizontal="center" vertical="center" textRotation="90"/>
    </xf>
    <xf numFmtId="164" fontId="3" fillId="2" borderId="45" xfId="0" applyNumberFormat="1" applyFont="1" applyFill="1" applyBorder="1" applyAlignment="1">
      <alignment horizontal="center"/>
    </xf>
    <xf numFmtId="164" fontId="3" fillId="2" borderId="46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2" fillId="0" borderId="47" xfId="0" applyNumberFormat="1" applyFont="1" applyFill="1" applyBorder="1" applyAlignment="1">
      <alignment horizontal="center" vertical="center"/>
    </xf>
    <xf numFmtId="164" fontId="2" fillId="0" borderId="48" xfId="0" applyNumberFormat="1" applyFont="1" applyFill="1" applyBorder="1" applyAlignment="1">
      <alignment horizontal="center" vertical="center"/>
    </xf>
    <xf numFmtId="164" fontId="2" fillId="0" borderId="49" xfId="0" applyNumberFormat="1" applyFon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vertical="center"/>
    </xf>
    <xf numFmtId="164" fontId="2" fillId="0" borderId="41" xfId="0" applyNumberFormat="1" applyFont="1" applyFill="1" applyBorder="1" applyAlignment="1">
      <alignment horizontal="center" vertical="center"/>
    </xf>
    <xf numFmtId="2" fontId="2" fillId="0" borderId="28" xfId="0" applyNumberFormat="1" applyFont="1" applyFill="1" applyBorder="1" applyAlignment="1">
      <alignment horizontal="center" vertical="center"/>
    </xf>
    <xf numFmtId="164" fontId="3" fillId="2" borderId="38" xfId="0" applyNumberFormat="1" applyFont="1" applyFill="1" applyBorder="1"/>
    <xf numFmtId="164" fontId="2" fillId="2" borderId="20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164" fontId="2" fillId="2" borderId="22" xfId="0" applyNumberFormat="1" applyFont="1" applyFill="1" applyBorder="1" applyAlignment="1">
      <alignment horizontal="center" vertical="center"/>
    </xf>
    <xf numFmtId="164" fontId="3" fillId="2" borderId="44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/>
    </xf>
    <xf numFmtId="164" fontId="2" fillId="2" borderId="39" xfId="0" applyNumberFormat="1" applyFont="1" applyFill="1" applyBorder="1" applyAlignment="1">
      <alignment horizontal="center" vertical="center"/>
    </xf>
    <xf numFmtId="164" fontId="2" fillId="2" borderId="40" xfId="0" applyNumberFormat="1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164" fontId="2" fillId="0" borderId="52" xfId="0" applyNumberFormat="1" applyFont="1" applyFill="1" applyBorder="1" applyAlignment="1">
      <alignment horizontal="center" vertical="center"/>
    </xf>
    <xf numFmtId="164" fontId="2" fillId="0" borderId="53" xfId="0" applyNumberFormat="1" applyFont="1" applyFill="1" applyBorder="1" applyAlignment="1">
      <alignment horizontal="center" vertical="center"/>
    </xf>
    <xf numFmtId="164" fontId="2" fillId="0" borderId="54" xfId="0" applyNumberFormat="1" applyFont="1" applyFill="1" applyBorder="1" applyAlignment="1">
      <alignment horizontal="center" vertical="center"/>
    </xf>
    <xf numFmtId="164" fontId="2" fillId="0" borderId="55" xfId="0" applyNumberFormat="1" applyFont="1" applyFill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/>
    </xf>
    <xf numFmtId="164" fontId="2" fillId="2" borderId="55" xfId="0" applyNumberFormat="1" applyFont="1" applyFill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2" fillId="0" borderId="39" xfId="0" applyFont="1" applyFill="1" applyBorder="1" applyAlignment="1">
      <alignment horizontal="center" vertical="center"/>
    </xf>
    <xf numFmtId="164" fontId="3" fillId="2" borderId="56" xfId="0" applyNumberFormat="1" applyFont="1" applyFill="1" applyBorder="1" applyAlignment="1">
      <alignment horizontal="center"/>
    </xf>
    <xf numFmtId="164" fontId="3" fillId="2" borderId="44" xfId="0" applyNumberFormat="1" applyFont="1" applyFill="1" applyBorder="1"/>
    <xf numFmtId="2" fontId="2" fillId="0" borderId="18" xfId="0" applyNumberFormat="1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center" vertical="center"/>
    </xf>
    <xf numFmtId="164" fontId="2" fillId="0" borderId="58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50" xfId="0" applyNumberFormat="1" applyFont="1" applyFill="1" applyBorder="1" applyAlignment="1">
      <alignment horizontal="center" vertical="center"/>
    </xf>
    <xf numFmtId="164" fontId="2" fillId="0" borderId="39" xfId="0" applyNumberFormat="1" applyFont="1" applyFill="1" applyBorder="1" applyAlignment="1">
      <alignment horizontal="center" vertical="center"/>
    </xf>
    <xf numFmtId="2" fontId="2" fillId="0" borderId="39" xfId="0" applyNumberFormat="1" applyFont="1" applyFill="1" applyBorder="1" applyAlignment="1">
      <alignment horizontal="center" vertical="center"/>
    </xf>
    <xf numFmtId="164" fontId="2" fillId="0" borderId="40" xfId="0" applyNumberFormat="1" applyFont="1" applyFill="1" applyBorder="1" applyAlignment="1">
      <alignment horizontal="center" vertical="center"/>
    </xf>
    <xf numFmtId="164" fontId="2" fillId="0" borderId="57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21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21" xfId="0" applyFont="1" applyFill="1" applyBorder="1"/>
    <xf numFmtId="0" fontId="2" fillId="0" borderId="21" xfId="0" applyFont="1" applyFill="1" applyBorder="1" applyAlignment="1">
      <alignment vertical="center" wrapText="1"/>
    </xf>
    <xf numFmtId="0" fontId="2" fillId="0" borderId="59" xfId="0" applyFont="1" applyFill="1" applyBorder="1" applyAlignment="1">
      <alignment vertical="center"/>
    </xf>
    <xf numFmtId="0" fontId="2" fillId="0" borderId="5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164" fontId="4" fillId="0" borderId="39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3" fillId="0" borderId="33" xfId="0" applyNumberFormat="1" applyFont="1" applyFill="1" applyBorder="1" applyAlignment="1">
      <alignment horizontal="center"/>
    </xf>
    <xf numFmtId="164" fontId="3" fillId="0" borderId="37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2" fontId="3" fillId="0" borderId="33" xfId="0" applyNumberFormat="1" applyFont="1" applyFill="1" applyBorder="1" applyAlignment="1">
      <alignment horizontal="center"/>
    </xf>
    <xf numFmtId="164" fontId="3" fillId="0" borderId="37" xfId="0" applyNumberFormat="1" applyFont="1" applyFill="1" applyBorder="1"/>
    <xf numFmtId="164" fontId="3" fillId="0" borderId="51" xfId="0" applyNumberFormat="1" applyFont="1" applyFill="1" applyBorder="1"/>
    <xf numFmtId="165" fontId="2" fillId="2" borderId="0" xfId="0" applyNumberFormat="1" applyFont="1" applyFill="1" applyAlignment="1">
      <alignment horizontal="center"/>
    </xf>
    <xf numFmtId="165" fontId="2" fillId="0" borderId="32" xfId="0" applyNumberFormat="1" applyFont="1" applyFill="1" applyBorder="1" applyAlignment="1">
      <alignment horizontal="center" vertical="center" textRotation="90" wrapText="1"/>
    </xf>
    <xf numFmtId="165" fontId="2" fillId="0" borderId="11" xfId="0" applyNumberFormat="1" applyFont="1" applyFill="1" applyBorder="1" applyAlignment="1">
      <alignment horizontal="center" vertical="center"/>
    </xf>
    <xf numFmtId="165" fontId="2" fillId="0" borderId="25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165" fontId="2" fillId="0" borderId="24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5" fontId="2" fillId="0" borderId="18" xfId="0" applyNumberFormat="1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horizontal="center" vertical="center"/>
    </xf>
    <xf numFmtId="165" fontId="3" fillId="2" borderId="32" xfId="0" applyNumberFormat="1" applyFont="1" applyFill="1" applyBorder="1" applyAlignment="1">
      <alignment horizontal="center"/>
    </xf>
    <xf numFmtId="165" fontId="3" fillId="0" borderId="8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vertical="center" textRotation="90"/>
    </xf>
    <xf numFmtId="0" fontId="6" fillId="0" borderId="38" xfId="0" applyFont="1" applyFill="1" applyBorder="1" applyAlignment="1">
      <alignment vertical="center" textRotation="90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38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ndarenko/@&#1056;&#1072;&#1073;&#1086;&#1095;&#1080;&#1081;%20&#1089;&#1090;&#1086;&#1083;/&#1056;&#1067;&#1041;&#1054;&#1051;&#1054;&#1042;&#1057;&#1058;&#1042;&#1054;/&#1050;&#1042;&#1054;&#1058;&#1067;/&#1050;&#1042;&#1054;&#1058;&#1067;%202019/&#1055;&#1086;&#1089;&#1090;&#1072;&#1085;&#1086;&#1074;&#1083;&#1077;&#1085;&#1080;&#1103;%202019%20&#1075;&#1086;&#1076;/1520%20&#1086;&#1090;%2025.12.18%20&#1054;%20&#1088;&#1072;&#1089;&#1087;&#1088;&#1077;&#1076;&#1077;&#1083;&#1077;&#1085;&#1080;&#1080;%20&#1086;&#1073;&#1098;&#1077;&#1084;&#1086;&#1074;%20&#1074;%20&#1095;&#1072;&#1089;&#1090;&#1080;%20&#1076;&#1086;&#1087;&#1091;&#1089;&#1090;&#1080;&#1084;&#1086;&#1075;&#1086;%20&#1091;&#1083;&#1086;&#1074;&#1072;%20&#1074;&#1086;&#1076;&#1085;&#1099;&#1093;%20&#1073;&#1080;&#1086;&#1088;&#1077;&#1089;&#1091;&#1088;&#1089;&#1086;&#1074;/&#1055;&#1086;%20&#1076;&#1086;&#1083;&#1103;&#1084;%20&#1082;&#1074;&#1086;&#1090;%20&#1045;&#1085;&#1080;&#1089;&#1077;&#1081;%20-%20&#1082;&#1086;&#1087;&#1080;&#1103;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исей"/>
      <sheetName val="Лист1"/>
      <sheetName val="Лист2"/>
      <sheetName val="Лист3"/>
    </sheetNames>
    <sheetDataSet>
      <sheetData sheetId="0">
        <row r="11">
          <cell r="C11">
            <v>4.2300000000000004</v>
          </cell>
          <cell r="E11">
            <v>14.87</v>
          </cell>
          <cell r="I11">
            <v>3.29</v>
          </cell>
        </row>
        <row r="14">
          <cell r="C14">
            <v>2.2599999999999998</v>
          </cell>
          <cell r="E14">
            <v>13.16</v>
          </cell>
          <cell r="I14">
            <v>2.89</v>
          </cell>
        </row>
        <row r="17">
          <cell r="C17">
            <v>1.53</v>
          </cell>
          <cell r="E17">
            <v>8.66</v>
          </cell>
          <cell r="I17">
            <v>1.7</v>
          </cell>
        </row>
        <row r="20">
          <cell r="C20">
            <v>1.43</v>
          </cell>
          <cell r="E20">
            <v>6.9</v>
          </cell>
          <cell r="I20">
            <v>1.66</v>
          </cell>
        </row>
        <row r="21">
          <cell r="C21">
            <v>2.4500000000000002</v>
          </cell>
          <cell r="E21">
            <v>12.76</v>
          </cell>
          <cell r="I21">
            <v>2.2200000000000002</v>
          </cell>
        </row>
        <row r="26">
          <cell r="E26">
            <v>12.24</v>
          </cell>
        </row>
        <row r="27">
          <cell r="C27">
            <v>1.5</v>
          </cell>
          <cell r="E27">
            <v>7.1</v>
          </cell>
          <cell r="I27">
            <v>1.46</v>
          </cell>
        </row>
        <row r="29">
          <cell r="C29">
            <v>2.4</v>
          </cell>
          <cell r="E29">
            <v>11.67</v>
          </cell>
          <cell r="I29">
            <v>1.99</v>
          </cell>
        </row>
        <row r="34">
          <cell r="C34">
            <v>1.36</v>
          </cell>
          <cell r="I34">
            <v>1.43</v>
          </cell>
        </row>
        <row r="37">
          <cell r="C37">
            <v>2.85</v>
          </cell>
          <cell r="E37">
            <v>17.87</v>
          </cell>
        </row>
        <row r="38">
          <cell r="C38">
            <v>2.21</v>
          </cell>
          <cell r="E38">
            <v>10.7</v>
          </cell>
          <cell r="I38">
            <v>1.9</v>
          </cell>
        </row>
        <row r="39">
          <cell r="C39">
            <v>1.23</v>
          </cell>
          <cell r="I39">
            <v>3.68</v>
          </cell>
        </row>
        <row r="45">
          <cell r="C45">
            <v>7.2</v>
          </cell>
          <cell r="E45">
            <v>26.8</v>
          </cell>
          <cell r="I45">
            <v>6.7</v>
          </cell>
        </row>
        <row r="47">
          <cell r="C47">
            <v>16.73</v>
          </cell>
          <cell r="E47">
            <v>136.09</v>
          </cell>
          <cell r="I47">
            <v>18.93</v>
          </cell>
        </row>
        <row r="49">
          <cell r="C49">
            <v>8</v>
          </cell>
          <cell r="E49">
            <v>22.5</v>
          </cell>
        </row>
        <row r="50">
          <cell r="I50">
            <v>17.8</v>
          </cell>
        </row>
        <row r="51">
          <cell r="E51">
            <v>6.6</v>
          </cell>
          <cell r="I51">
            <v>1.61</v>
          </cell>
        </row>
        <row r="52">
          <cell r="C52">
            <v>3.51</v>
          </cell>
          <cell r="E52">
            <v>14.8</v>
          </cell>
          <cell r="I52">
            <v>3.53</v>
          </cell>
        </row>
        <row r="53">
          <cell r="C53">
            <v>23.5</v>
          </cell>
          <cell r="E53">
            <v>146.5</v>
          </cell>
          <cell r="I53">
            <v>16.5</v>
          </cell>
        </row>
        <row r="54">
          <cell r="C54">
            <v>1.18</v>
          </cell>
        </row>
        <row r="55">
          <cell r="C55">
            <v>1.69</v>
          </cell>
          <cell r="E55">
            <v>6.6</v>
          </cell>
          <cell r="I55">
            <v>2.82</v>
          </cell>
        </row>
        <row r="57">
          <cell r="C57">
            <v>2.12</v>
          </cell>
          <cell r="E57">
            <v>9.8000000000000007</v>
          </cell>
          <cell r="I57">
            <v>2.54</v>
          </cell>
        </row>
        <row r="58">
          <cell r="E58">
            <v>8.9</v>
          </cell>
          <cell r="I58">
            <v>1.58</v>
          </cell>
        </row>
        <row r="66">
          <cell r="E66">
            <v>16.3</v>
          </cell>
          <cell r="I66">
            <v>1.51</v>
          </cell>
        </row>
        <row r="68">
          <cell r="C68">
            <v>3.25</v>
          </cell>
          <cell r="E68">
            <v>15.8</v>
          </cell>
          <cell r="I68">
            <v>3.32</v>
          </cell>
        </row>
        <row r="72">
          <cell r="C72">
            <v>2.99</v>
          </cell>
          <cell r="E72">
            <v>19.14</v>
          </cell>
          <cell r="I72">
            <v>5.9</v>
          </cell>
        </row>
        <row r="75">
          <cell r="C75">
            <v>4.0999999999999996</v>
          </cell>
          <cell r="E75">
            <v>12.1</v>
          </cell>
          <cell r="I75">
            <v>2.48</v>
          </cell>
        </row>
        <row r="76">
          <cell r="C76">
            <v>1.36</v>
          </cell>
          <cell r="E76">
            <v>7.5</v>
          </cell>
          <cell r="I76">
            <v>1.54</v>
          </cell>
        </row>
        <row r="80">
          <cell r="C80">
            <v>3.34</v>
          </cell>
          <cell r="E80">
            <v>25.7</v>
          </cell>
          <cell r="I80">
            <v>3.61</v>
          </cell>
        </row>
        <row r="84">
          <cell r="E84">
            <v>8.1999999999999993</v>
          </cell>
          <cell r="I84">
            <v>1.88</v>
          </cell>
        </row>
        <row r="86">
          <cell r="C86">
            <v>1.94</v>
          </cell>
          <cell r="I86">
            <v>2.29</v>
          </cell>
        </row>
        <row r="87">
          <cell r="C87">
            <v>2.2799999999999998</v>
          </cell>
          <cell r="I87">
            <v>2.11</v>
          </cell>
        </row>
        <row r="88">
          <cell r="C88">
            <v>1.27</v>
          </cell>
        </row>
        <row r="92">
          <cell r="C92">
            <v>7.3</v>
          </cell>
          <cell r="E92">
            <v>40.1</v>
          </cell>
          <cell r="I92">
            <v>7.6</v>
          </cell>
        </row>
        <row r="93">
          <cell r="C93">
            <v>163.30000000000001</v>
          </cell>
          <cell r="E93">
            <v>1005.43</v>
          </cell>
          <cell r="I93">
            <v>196.71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83"/>
  <sheetViews>
    <sheetView tabSelected="1" view="pageBreakPreview" zoomScale="95" zoomScaleNormal="100" zoomScaleSheetLayoutView="95" workbookViewId="0">
      <pane xSplit="14" ySplit="13" topLeftCell="O62" activePane="bottomRight" state="frozen"/>
      <selection pane="topRight" activeCell="O1" sqref="O1"/>
      <selection pane="bottomLeft" activeCell="A12" sqref="A12"/>
      <selection pane="bottomRight" activeCell="M13" sqref="M13"/>
    </sheetView>
  </sheetViews>
  <sheetFormatPr defaultColWidth="6.140625" defaultRowHeight="14.25" customHeight="1" x14ac:dyDescent="0.25"/>
  <cols>
    <col min="1" max="1" width="4.7109375" style="3" customWidth="1"/>
    <col min="2" max="2" width="24" style="2" customWidth="1"/>
    <col min="3" max="3" width="10.140625" style="3" customWidth="1"/>
    <col min="4" max="4" width="10.7109375" style="111" customWidth="1"/>
    <col min="5" max="9" width="8.5703125" style="3" customWidth="1"/>
    <col min="10" max="10" width="8.28515625" style="3" customWidth="1"/>
    <col min="11" max="11" width="9.5703125" style="3" customWidth="1"/>
    <col min="12" max="12" width="8.28515625" style="3" customWidth="1"/>
    <col min="13" max="13" width="9.28515625" style="3" customWidth="1"/>
    <col min="14" max="14" width="7.85546875" style="3" customWidth="1"/>
    <col min="15" max="15" width="9.28515625" style="3" customWidth="1"/>
    <col min="16" max="16" width="8.5703125" style="3" customWidth="1"/>
    <col min="17" max="17" width="8.85546875" style="2" customWidth="1"/>
    <col min="18" max="18" width="10.28515625" style="2" customWidth="1"/>
    <col min="19" max="19" width="10.7109375" style="2" customWidth="1"/>
    <col min="20" max="20" width="6.140625" style="2" customWidth="1"/>
    <col min="21" max="98" width="6.140625" style="2"/>
    <col min="99" max="99" width="6.140625" style="2" customWidth="1"/>
    <col min="100" max="257" width="6.140625" style="2"/>
    <col min="258" max="258" width="3.85546875" style="2" customWidth="1"/>
    <col min="259" max="259" width="25.140625" style="2" customWidth="1"/>
    <col min="260" max="260" width="9.5703125" style="2" customWidth="1"/>
    <col min="261" max="261" width="7.7109375" style="2" customWidth="1"/>
    <col min="262" max="262" width="7.42578125" style="2" customWidth="1"/>
    <col min="263" max="263" width="6.7109375" style="2" customWidth="1"/>
    <col min="264" max="265" width="7.42578125" style="2" customWidth="1"/>
    <col min="266" max="266" width="8.28515625" style="2" customWidth="1"/>
    <col min="267" max="267" width="8.5703125" style="2" bestFit="1" customWidth="1"/>
    <col min="268" max="268" width="7.85546875" style="2" customWidth="1"/>
    <col min="269" max="269" width="7" style="2" customWidth="1"/>
    <col min="270" max="270" width="5.42578125" style="2" customWidth="1"/>
    <col min="271" max="271" width="8.85546875" style="2" customWidth="1"/>
    <col min="272" max="272" width="8.5703125" style="2" customWidth="1"/>
    <col min="273" max="513" width="6.140625" style="2"/>
    <col min="514" max="514" width="3.85546875" style="2" customWidth="1"/>
    <col min="515" max="515" width="25.140625" style="2" customWidth="1"/>
    <col min="516" max="516" width="9.5703125" style="2" customWidth="1"/>
    <col min="517" max="517" width="7.7109375" style="2" customWidth="1"/>
    <col min="518" max="518" width="7.42578125" style="2" customWidth="1"/>
    <col min="519" max="519" width="6.7109375" style="2" customWidth="1"/>
    <col min="520" max="521" width="7.42578125" style="2" customWidth="1"/>
    <col min="522" max="522" width="8.28515625" style="2" customWidth="1"/>
    <col min="523" max="523" width="8.5703125" style="2" bestFit="1" customWidth="1"/>
    <col min="524" max="524" width="7.85546875" style="2" customWidth="1"/>
    <col min="525" max="525" width="7" style="2" customWidth="1"/>
    <col min="526" max="526" width="5.42578125" style="2" customWidth="1"/>
    <col min="527" max="527" width="8.85546875" style="2" customWidth="1"/>
    <col min="528" max="528" width="8.5703125" style="2" customWidth="1"/>
    <col min="529" max="769" width="6.140625" style="2"/>
    <col min="770" max="770" width="3.85546875" style="2" customWidth="1"/>
    <col min="771" max="771" width="25.140625" style="2" customWidth="1"/>
    <col min="772" max="772" width="9.5703125" style="2" customWidth="1"/>
    <col min="773" max="773" width="7.7109375" style="2" customWidth="1"/>
    <col min="774" max="774" width="7.42578125" style="2" customWidth="1"/>
    <col min="775" max="775" width="6.7109375" style="2" customWidth="1"/>
    <col min="776" max="777" width="7.42578125" style="2" customWidth="1"/>
    <col min="778" max="778" width="8.28515625" style="2" customWidth="1"/>
    <col min="779" max="779" width="8.5703125" style="2" bestFit="1" customWidth="1"/>
    <col min="780" max="780" width="7.85546875" style="2" customWidth="1"/>
    <col min="781" max="781" width="7" style="2" customWidth="1"/>
    <col min="782" max="782" width="5.42578125" style="2" customWidth="1"/>
    <col min="783" max="783" width="8.85546875" style="2" customWidth="1"/>
    <col min="784" max="784" width="8.5703125" style="2" customWidth="1"/>
    <col min="785" max="1025" width="6.140625" style="2"/>
    <col min="1026" max="1026" width="3.85546875" style="2" customWidth="1"/>
    <col min="1027" max="1027" width="25.140625" style="2" customWidth="1"/>
    <col min="1028" max="1028" width="9.5703125" style="2" customWidth="1"/>
    <col min="1029" max="1029" width="7.7109375" style="2" customWidth="1"/>
    <col min="1030" max="1030" width="7.42578125" style="2" customWidth="1"/>
    <col min="1031" max="1031" width="6.7109375" style="2" customWidth="1"/>
    <col min="1032" max="1033" width="7.42578125" style="2" customWidth="1"/>
    <col min="1034" max="1034" width="8.28515625" style="2" customWidth="1"/>
    <col min="1035" max="1035" width="8.5703125" style="2" bestFit="1" customWidth="1"/>
    <col min="1036" max="1036" width="7.85546875" style="2" customWidth="1"/>
    <col min="1037" max="1037" width="7" style="2" customWidth="1"/>
    <col min="1038" max="1038" width="5.42578125" style="2" customWidth="1"/>
    <col min="1039" max="1039" width="8.85546875" style="2" customWidth="1"/>
    <col min="1040" max="1040" width="8.5703125" style="2" customWidth="1"/>
    <col min="1041" max="1281" width="6.140625" style="2"/>
    <col min="1282" max="1282" width="3.85546875" style="2" customWidth="1"/>
    <col min="1283" max="1283" width="25.140625" style="2" customWidth="1"/>
    <col min="1284" max="1284" width="9.5703125" style="2" customWidth="1"/>
    <col min="1285" max="1285" width="7.7109375" style="2" customWidth="1"/>
    <col min="1286" max="1286" width="7.42578125" style="2" customWidth="1"/>
    <col min="1287" max="1287" width="6.7109375" style="2" customWidth="1"/>
    <col min="1288" max="1289" width="7.42578125" style="2" customWidth="1"/>
    <col min="1290" max="1290" width="8.28515625" style="2" customWidth="1"/>
    <col min="1291" max="1291" width="8.5703125" style="2" bestFit="1" customWidth="1"/>
    <col min="1292" max="1292" width="7.85546875" style="2" customWidth="1"/>
    <col min="1293" max="1293" width="7" style="2" customWidth="1"/>
    <col min="1294" max="1294" width="5.42578125" style="2" customWidth="1"/>
    <col min="1295" max="1295" width="8.85546875" style="2" customWidth="1"/>
    <col min="1296" max="1296" width="8.5703125" style="2" customWidth="1"/>
    <col min="1297" max="1537" width="6.140625" style="2"/>
    <col min="1538" max="1538" width="3.85546875" style="2" customWidth="1"/>
    <col min="1539" max="1539" width="25.140625" style="2" customWidth="1"/>
    <col min="1540" max="1540" width="9.5703125" style="2" customWidth="1"/>
    <col min="1541" max="1541" width="7.7109375" style="2" customWidth="1"/>
    <col min="1542" max="1542" width="7.42578125" style="2" customWidth="1"/>
    <col min="1543" max="1543" width="6.7109375" style="2" customWidth="1"/>
    <col min="1544" max="1545" width="7.42578125" style="2" customWidth="1"/>
    <col min="1546" max="1546" width="8.28515625" style="2" customWidth="1"/>
    <col min="1547" max="1547" width="8.5703125" style="2" bestFit="1" customWidth="1"/>
    <col min="1548" max="1548" width="7.85546875" style="2" customWidth="1"/>
    <col min="1549" max="1549" width="7" style="2" customWidth="1"/>
    <col min="1550" max="1550" width="5.42578125" style="2" customWidth="1"/>
    <col min="1551" max="1551" width="8.85546875" style="2" customWidth="1"/>
    <col min="1552" max="1552" width="8.5703125" style="2" customWidth="1"/>
    <col min="1553" max="1793" width="6.140625" style="2"/>
    <col min="1794" max="1794" width="3.85546875" style="2" customWidth="1"/>
    <col min="1795" max="1795" width="25.140625" style="2" customWidth="1"/>
    <col min="1796" max="1796" width="9.5703125" style="2" customWidth="1"/>
    <col min="1797" max="1797" width="7.7109375" style="2" customWidth="1"/>
    <col min="1798" max="1798" width="7.42578125" style="2" customWidth="1"/>
    <col min="1799" max="1799" width="6.7109375" style="2" customWidth="1"/>
    <col min="1800" max="1801" width="7.42578125" style="2" customWidth="1"/>
    <col min="1802" max="1802" width="8.28515625" style="2" customWidth="1"/>
    <col min="1803" max="1803" width="8.5703125" style="2" bestFit="1" customWidth="1"/>
    <col min="1804" max="1804" width="7.85546875" style="2" customWidth="1"/>
    <col min="1805" max="1805" width="7" style="2" customWidth="1"/>
    <col min="1806" max="1806" width="5.42578125" style="2" customWidth="1"/>
    <col min="1807" max="1807" width="8.85546875" style="2" customWidth="1"/>
    <col min="1808" max="1808" width="8.5703125" style="2" customWidth="1"/>
    <col min="1809" max="2049" width="6.140625" style="2"/>
    <col min="2050" max="2050" width="3.85546875" style="2" customWidth="1"/>
    <col min="2051" max="2051" width="25.140625" style="2" customWidth="1"/>
    <col min="2052" max="2052" width="9.5703125" style="2" customWidth="1"/>
    <col min="2053" max="2053" width="7.7109375" style="2" customWidth="1"/>
    <col min="2054" max="2054" width="7.42578125" style="2" customWidth="1"/>
    <col min="2055" max="2055" width="6.7109375" style="2" customWidth="1"/>
    <col min="2056" max="2057" width="7.42578125" style="2" customWidth="1"/>
    <col min="2058" max="2058" width="8.28515625" style="2" customWidth="1"/>
    <col min="2059" max="2059" width="8.5703125" style="2" bestFit="1" customWidth="1"/>
    <col min="2060" max="2060" width="7.85546875" style="2" customWidth="1"/>
    <col min="2061" max="2061" width="7" style="2" customWidth="1"/>
    <col min="2062" max="2062" width="5.42578125" style="2" customWidth="1"/>
    <col min="2063" max="2063" width="8.85546875" style="2" customWidth="1"/>
    <col min="2064" max="2064" width="8.5703125" style="2" customWidth="1"/>
    <col min="2065" max="2305" width="6.140625" style="2"/>
    <col min="2306" max="2306" width="3.85546875" style="2" customWidth="1"/>
    <col min="2307" max="2307" width="25.140625" style="2" customWidth="1"/>
    <col min="2308" max="2308" width="9.5703125" style="2" customWidth="1"/>
    <col min="2309" max="2309" width="7.7109375" style="2" customWidth="1"/>
    <col min="2310" max="2310" width="7.42578125" style="2" customWidth="1"/>
    <col min="2311" max="2311" width="6.7109375" style="2" customWidth="1"/>
    <col min="2312" max="2313" width="7.42578125" style="2" customWidth="1"/>
    <col min="2314" max="2314" width="8.28515625" style="2" customWidth="1"/>
    <col min="2315" max="2315" width="8.5703125" style="2" bestFit="1" customWidth="1"/>
    <col min="2316" max="2316" width="7.85546875" style="2" customWidth="1"/>
    <col min="2317" max="2317" width="7" style="2" customWidth="1"/>
    <col min="2318" max="2318" width="5.42578125" style="2" customWidth="1"/>
    <col min="2319" max="2319" width="8.85546875" style="2" customWidth="1"/>
    <col min="2320" max="2320" width="8.5703125" style="2" customWidth="1"/>
    <col min="2321" max="2561" width="6.140625" style="2"/>
    <col min="2562" max="2562" width="3.85546875" style="2" customWidth="1"/>
    <col min="2563" max="2563" width="25.140625" style="2" customWidth="1"/>
    <col min="2564" max="2564" width="9.5703125" style="2" customWidth="1"/>
    <col min="2565" max="2565" width="7.7109375" style="2" customWidth="1"/>
    <col min="2566" max="2566" width="7.42578125" style="2" customWidth="1"/>
    <col min="2567" max="2567" width="6.7109375" style="2" customWidth="1"/>
    <col min="2568" max="2569" width="7.42578125" style="2" customWidth="1"/>
    <col min="2570" max="2570" width="8.28515625" style="2" customWidth="1"/>
    <col min="2571" max="2571" width="8.5703125" style="2" bestFit="1" customWidth="1"/>
    <col min="2572" max="2572" width="7.85546875" style="2" customWidth="1"/>
    <col min="2573" max="2573" width="7" style="2" customWidth="1"/>
    <col min="2574" max="2574" width="5.42578125" style="2" customWidth="1"/>
    <col min="2575" max="2575" width="8.85546875" style="2" customWidth="1"/>
    <col min="2576" max="2576" width="8.5703125" style="2" customWidth="1"/>
    <col min="2577" max="2817" width="6.140625" style="2"/>
    <col min="2818" max="2818" width="3.85546875" style="2" customWidth="1"/>
    <col min="2819" max="2819" width="25.140625" style="2" customWidth="1"/>
    <col min="2820" max="2820" width="9.5703125" style="2" customWidth="1"/>
    <col min="2821" max="2821" width="7.7109375" style="2" customWidth="1"/>
    <col min="2822" max="2822" width="7.42578125" style="2" customWidth="1"/>
    <col min="2823" max="2823" width="6.7109375" style="2" customWidth="1"/>
    <col min="2824" max="2825" width="7.42578125" style="2" customWidth="1"/>
    <col min="2826" max="2826" width="8.28515625" style="2" customWidth="1"/>
    <col min="2827" max="2827" width="8.5703125" style="2" bestFit="1" customWidth="1"/>
    <col min="2828" max="2828" width="7.85546875" style="2" customWidth="1"/>
    <col min="2829" max="2829" width="7" style="2" customWidth="1"/>
    <col min="2830" max="2830" width="5.42578125" style="2" customWidth="1"/>
    <col min="2831" max="2831" width="8.85546875" style="2" customWidth="1"/>
    <col min="2832" max="2832" width="8.5703125" style="2" customWidth="1"/>
    <col min="2833" max="3073" width="6.140625" style="2"/>
    <col min="3074" max="3074" width="3.85546875" style="2" customWidth="1"/>
    <col min="3075" max="3075" width="25.140625" style="2" customWidth="1"/>
    <col min="3076" max="3076" width="9.5703125" style="2" customWidth="1"/>
    <col min="3077" max="3077" width="7.7109375" style="2" customWidth="1"/>
    <col min="3078" max="3078" width="7.42578125" style="2" customWidth="1"/>
    <col min="3079" max="3079" width="6.7109375" style="2" customWidth="1"/>
    <col min="3080" max="3081" width="7.42578125" style="2" customWidth="1"/>
    <col min="3082" max="3082" width="8.28515625" style="2" customWidth="1"/>
    <col min="3083" max="3083" width="8.5703125" style="2" bestFit="1" customWidth="1"/>
    <col min="3084" max="3084" width="7.85546875" style="2" customWidth="1"/>
    <col min="3085" max="3085" width="7" style="2" customWidth="1"/>
    <col min="3086" max="3086" width="5.42578125" style="2" customWidth="1"/>
    <col min="3087" max="3087" width="8.85546875" style="2" customWidth="1"/>
    <col min="3088" max="3088" width="8.5703125" style="2" customWidth="1"/>
    <col min="3089" max="3329" width="6.140625" style="2"/>
    <col min="3330" max="3330" width="3.85546875" style="2" customWidth="1"/>
    <col min="3331" max="3331" width="25.140625" style="2" customWidth="1"/>
    <col min="3332" max="3332" width="9.5703125" style="2" customWidth="1"/>
    <col min="3333" max="3333" width="7.7109375" style="2" customWidth="1"/>
    <col min="3334" max="3334" width="7.42578125" style="2" customWidth="1"/>
    <col min="3335" max="3335" width="6.7109375" style="2" customWidth="1"/>
    <col min="3336" max="3337" width="7.42578125" style="2" customWidth="1"/>
    <col min="3338" max="3338" width="8.28515625" style="2" customWidth="1"/>
    <col min="3339" max="3339" width="8.5703125" style="2" bestFit="1" customWidth="1"/>
    <col min="3340" max="3340" width="7.85546875" style="2" customWidth="1"/>
    <col min="3341" max="3341" width="7" style="2" customWidth="1"/>
    <col min="3342" max="3342" width="5.42578125" style="2" customWidth="1"/>
    <col min="3343" max="3343" width="8.85546875" style="2" customWidth="1"/>
    <col min="3344" max="3344" width="8.5703125" style="2" customWidth="1"/>
    <col min="3345" max="3585" width="6.140625" style="2"/>
    <col min="3586" max="3586" width="3.85546875" style="2" customWidth="1"/>
    <col min="3587" max="3587" width="25.140625" style="2" customWidth="1"/>
    <col min="3588" max="3588" width="9.5703125" style="2" customWidth="1"/>
    <col min="3589" max="3589" width="7.7109375" style="2" customWidth="1"/>
    <col min="3590" max="3590" width="7.42578125" style="2" customWidth="1"/>
    <col min="3591" max="3591" width="6.7109375" style="2" customWidth="1"/>
    <col min="3592" max="3593" width="7.42578125" style="2" customWidth="1"/>
    <col min="3594" max="3594" width="8.28515625" style="2" customWidth="1"/>
    <col min="3595" max="3595" width="8.5703125" style="2" bestFit="1" customWidth="1"/>
    <col min="3596" max="3596" width="7.85546875" style="2" customWidth="1"/>
    <col min="3597" max="3597" width="7" style="2" customWidth="1"/>
    <col min="3598" max="3598" width="5.42578125" style="2" customWidth="1"/>
    <col min="3599" max="3599" width="8.85546875" style="2" customWidth="1"/>
    <col min="3600" max="3600" width="8.5703125" style="2" customWidth="1"/>
    <col min="3601" max="3841" width="6.140625" style="2"/>
    <col min="3842" max="3842" width="3.85546875" style="2" customWidth="1"/>
    <col min="3843" max="3843" width="25.140625" style="2" customWidth="1"/>
    <col min="3844" max="3844" width="9.5703125" style="2" customWidth="1"/>
    <col min="3845" max="3845" width="7.7109375" style="2" customWidth="1"/>
    <col min="3846" max="3846" width="7.42578125" style="2" customWidth="1"/>
    <col min="3847" max="3847" width="6.7109375" style="2" customWidth="1"/>
    <col min="3848" max="3849" width="7.42578125" style="2" customWidth="1"/>
    <col min="3850" max="3850" width="8.28515625" style="2" customWidth="1"/>
    <col min="3851" max="3851" width="8.5703125" style="2" bestFit="1" customWidth="1"/>
    <col min="3852" max="3852" width="7.85546875" style="2" customWidth="1"/>
    <col min="3853" max="3853" width="7" style="2" customWidth="1"/>
    <col min="3854" max="3854" width="5.42578125" style="2" customWidth="1"/>
    <col min="3855" max="3855" width="8.85546875" style="2" customWidth="1"/>
    <col min="3856" max="3856" width="8.5703125" style="2" customWidth="1"/>
    <col min="3857" max="4097" width="6.140625" style="2"/>
    <col min="4098" max="4098" width="3.85546875" style="2" customWidth="1"/>
    <col min="4099" max="4099" width="25.140625" style="2" customWidth="1"/>
    <col min="4100" max="4100" width="9.5703125" style="2" customWidth="1"/>
    <col min="4101" max="4101" width="7.7109375" style="2" customWidth="1"/>
    <col min="4102" max="4102" width="7.42578125" style="2" customWidth="1"/>
    <col min="4103" max="4103" width="6.7109375" style="2" customWidth="1"/>
    <col min="4104" max="4105" width="7.42578125" style="2" customWidth="1"/>
    <col min="4106" max="4106" width="8.28515625" style="2" customWidth="1"/>
    <col min="4107" max="4107" width="8.5703125" style="2" bestFit="1" customWidth="1"/>
    <col min="4108" max="4108" width="7.85546875" style="2" customWidth="1"/>
    <col min="4109" max="4109" width="7" style="2" customWidth="1"/>
    <col min="4110" max="4110" width="5.42578125" style="2" customWidth="1"/>
    <col min="4111" max="4111" width="8.85546875" style="2" customWidth="1"/>
    <col min="4112" max="4112" width="8.5703125" style="2" customWidth="1"/>
    <col min="4113" max="4353" width="6.140625" style="2"/>
    <col min="4354" max="4354" width="3.85546875" style="2" customWidth="1"/>
    <col min="4355" max="4355" width="25.140625" style="2" customWidth="1"/>
    <col min="4356" max="4356" width="9.5703125" style="2" customWidth="1"/>
    <col min="4357" max="4357" width="7.7109375" style="2" customWidth="1"/>
    <col min="4358" max="4358" width="7.42578125" style="2" customWidth="1"/>
    <col min="4359" max="4359" width="6.7109375" style="2" customWidth="1"/>
    <col min="4360" max="4361" width="7.42578125" style="2" customWidth="1"/>
    <col min="4362" max="4362" width="8.28515625" style="2" customWidth="1"/>
    <col min="4363" max="4363" width="8.5703125" style="2" bestFit="1" customWidth="1"/>
    <col min="4364" max="4364" width="7.85546875" style="2" customWidth="1"/>
    <col min="4365" max="4365" width="7" style="2" customWidth="1"/>
    <col min="4366" max="4366" width="5.42578125" style="2" customWidth="1"/>
    <col min="4367" max="4367" width="8.85546875" style="2" customWidth="1"/>
    <col min="4368" max="4368" width="8.5703125" style="2" customWidth="1"/>
    <col min="4369" max="4609" width="6.140625" style="2"/>
    <col min="4610" max="4610" width="3.85546875" style="2" customWidth="1"/>
    <col min="4611" max="4611" width="25.140625" style="2" customWidth="1"/>
    <col min="4612" max="4612" width="9.5703125" style="2" customWidth="1"/>
    <col min="4613" max="4613" width="7.7109375" style="2" customWidth="1"/>
    <col min="4614" max="4614" width="7.42578125" style="2" customWidth="1"/>
    <col min="4615" max="4615" width="6.7109375" style="2" customWidth="1"/>
    <col min="4616" max="4617" width="7.42578125" style="2" customWidth="1"/>
    <col min="4618" max="4618" width="8.28515625" style="2" customWidth="1"/>
    <col min="4619" max="4619" width="8.5703125" style="2" bestFit="1" customWidth="1"/>
    <col min="4620" max="4620" width="7.85546875" style="2" customWidth="1"/>
    <col min="4621" max="4621" width="7" style="2" customWidth="1"/>
    <col min="4622" max="4622" width="5.42578125" style="2" customWidth="1"/>
    <col min="4623" max="4623" width="8.85546875" style="2" customWidth="1"/>
    <col min="4624" max="4624" width="8.5703125" style="2" customWidth="1"/>
    <col min="4625" max="4865" width="6.140625" style="2"/>
    <col min="4866" max="4866" width="3.85546875" style="2" customWidth="1"/>
    <col min="4867" max="4867" width="25.140625" style="2" customWidth="1"/>
    <col min="4868" max="4868" width="9.5703125" style="2" customWidth="1"/>
    <col min="4869" max="4869" width="7.7109375" style="2" customWidth="1"/>
    <col min="4870" max="4870" width="7.42578125" style="2" customWidth="1"/>
    <col min="4871" max="4871" width="6.7109375" style="2" customWidth="1"/>
    <col min="4872" max="4873" width="7.42578125" style="2" customWidth="1"/>
    <col min="4874" max="4874" width="8.28515625" style="2" customWidth="1"/>
    <col min="4875" max="4875" width="8.5703125" style="2" bestFit="1" customWidth="1"/>
    <col min="4876" max="4876" width="7.85546875" style="2" customWidth="1"/>
    <col min="4877" max="4877" width="7" style="2" customWidth="1"/>
    <col min="4878" max="4878" width="5.42578125" style="2" customWidth="1"/>
    <col min="4879" max="4879" width="8.85546875" style="2" customWidth="1"/>
    <col min="4880" max="4880" width="8.5703125" style="2" customWidth="1"/>
    <col min="4881" max="5121" width="6.140625" style="2"/>
    <col min="5122" max="5122" width="3.85546875" style="2" customWidth="1"/>
    <col min="5123" max="5123" width="25.140625" style="2" customWidth="1"/>
    <col min="5124" max="5124" width="9.5703125" style="2" customWidth="1"/>
    <col min="5125" max="5125" width="7.7109375" style="2" customWidth="1"/>
    <col min="5126" max="5126" width="7.42578125" style="2" customWidth="1"/>
    <col min="5127" max="5127" width="6.7109375" style="2" customWidth="1"/>
    <col min="5128" max="5129" width="7.42578125" style="2" customWidth="1"/>
    <col min="5130" max="5130" width="8.28515625" style="2" customWidth="1"/>
    <col min="5131" max="5131" width="8.5703125" style="2" bestFit="1" customWidth="1"/>
    <col min="5132" max="5132" width="7.85546875" style="2" customWidth="1"/>
    <col min="5133" max="5133" width="7" style="2" customWidth="1"/>
    <col min="5134" max="5134" width="5.42578125" style="2" customWidth="1"/>
    <col min="5135" max="5135" width="8.85546875" style="2" customWidth="1"/>
    <col min="5136" max="5136" width="8.5703125" style="2" customWidth="1"/>
    <col min="5137" max="5377" width="6.140625" style="2"/>
    <col min="5378" max="5378" width="3.85546875" style="2" customWidth="1"/>
    <col min="5379" max="5379" width="25.140625" style="2" customWidth="1"/>
    <col min="5380" max="5380" width="9.5703125" style="2" customWidth="1"/>
    <col min="5381" max="5381" width="7.7109375" style="2" customWidth="1"/>
    <col min="5382" max="5382" width="7.42578125" style="2" customWidth="1"/>
    <col min="5383" max="5383" width="6.7109375" style="2" customWidth="1"/>
    <col min="5384" max="5385" width="7.42578125" style="2" customWidth="1"/>
    <col min="5386" max="5386" width="8.28515625" style="2" customWidth="1"/>
    <col min="5387" max="5387" width="8.5703125" style="2" bestFit="1" customWidth="1"/>
    <col min="5388" max="5388" width="7.85546875" style="2" customWidth="1"/>
    <col min="5389" max="5389" width="7" style="2" customWidth="1"/>
    <col min="5390" max="5390" width="5.42578125" style="2" customWidth="1"/>
    <col min="5391" max="5391" width="8.85546875" style="2" customWidth="1"/>
    <col min="5392" max="5392" width="8.5703125" style="2" customWidth="1"/>
    <col min="5393" max="5633" width="6.140625" style="2"/>
    <col min="5634" max="5634" width="3.85546875" style="2" customWidth="1"/>
    <col min="5635" max="5635" width="25.140625" style="2" customWidth="1"/>
    <col min="5636" max="5636" width="9.5703125" style="2" customWidth="1"/>
    <col min="5637" max="5637" width="7.7109375" style="2" customWidth="1"/>
    <col min="5638" max="5638" width="7.42578125" style="2" customWidth="1"/>
    <col min="5639" max="5639" width="6.7109375" style="2" customWidth="1"/>
    <col min="5640" max="5641" width="7.42578125" style="2" customWidth="1"/>
    <col min="5642" max="5642" width="8.28515625" style="2" customWidth="1"/>
    <col min="5643" max="5643" width="8.5703125" style="2" bestFit="1" customWidth="1"/>
    <col min="5644" max="5644" width="7.85546875" style="2" customWidth="1"/>
    <col min="5645" max="5645" width="7" style="2" customWidth="1"/>
    <col min="5646" max="5646" width="5.42578125" style="2" customWidth="1"/>
    <col min="5647" max="5647" width="8.85546875" style="2" customWidth="1"/>
    <col min="5648" max="5648" width="8.5703125" style="2" customWidth="1"/>
    <col min="5649" max="5889" width="6.140625" style="2"/>
    <col min="5890" max="5890" width="3.85546875" style="2" customWidth="1"/>
    <col min="5891" max="5891" width="25.140625" style="2" customWidth="1"/>
    <col min="5892" max="5892" width="9.5703125" style="2" customWidth="1"/>
    <col min="5893" max="5893" width="7.7109375" style="2" customWidth="1"/>
    <col min="5894" max="5894" width="7.42578125" style="2" customWidth="1"/>
    <col min="5895" max="5895" width="6.7109375" style="2" customWidth="1"/>
    <col min="5896" max="5897" width="7.42578125" style="2" customWidth="1"/>
    <col min="5898" max="5898" width="8.28515625" style="2" customWidth="1"/>
    <col min="5899" max="5899" width="8.5703125" style="2" bestFit="1" customWidth="1"/>
    <col min="5900" max="5900" width="7.85546875" style="2" customWidth="1"/>
    <col min="5901" max="5901" width="7" style="2" customWidth="1"/>
    <col min="5902" max="5902" width="5.42578125" style="2" customWidth="1"/>
    <col min="5903" max="5903" width="8.85546875" style="2" customWidth="1"/>
    <col min="5904" max="5904" width="8.5703125" style="2" customWidth="1"/>
    <col min="5905" max="6145" width="6.140625" style="2"/>
    <col min="6146" max="6146" width="3.85546875" style="2" customWidth="1"/>
    <col min="6147" max="6147" width="25.140625" style="2" customWidth="1"/>
    <col min="6148" max="6148" width="9.5703125" style="2" customWidth="1"/>
    <col min="6149" max="6149" width="7.7109375" style="2" customWidth="1"/>
    <col min="6150" max="6150" width="7.42578125" style="2" customWidth="1"/>
    <col min="6151" max="6151" width="6.7109375" style="2" customWidth="1"/>
    <col min="6152" max="6153" width="7.42578125" style="2" customWidth="1"/>
    <col min="6154" max="6154" width="8.28515625" style="2" customWidth="1"/>
    <col min="6155" max="6155" width="8.5703125" style="2" bestFit="1" customWidth="1"/>
    <col min="6156" max="6156" width="7.85546875" style="2" customWidth="1"/>
    <col min="6157" max="6157" width="7" style="2" customWidth="1"/>
    <col min="6158" max="6158" width="5.42578125" style="2" customWidth="1"/>
    <col min="6159" max="6159" width="8.85546875" style="2" customWidth="1"/>
    <col min="6160" max="6160" width="8.5703125" style="2" customWidth="1"/>
    <col min="6161" max="6401" width="6.140625" style="2"/>
    <col min="6402" max="6402" width="3.85546875" style="2" customWidth="1"/>
    <col min="6403" max="6403" width="25.140625" style="2" customWidth="1"/>
    <col min="6404" max="6404" width="9.5703125" style="2" customWidth="1"/>
    <col min="6405" max="6405" width="7.7109375" style="2" customWidth="1"/>
    <col min="6406" max="6406" width="7.42578125" style="2" customWidth="1"/>
    <col min="6407" max="6407" width="6.7109375" style="2" customWidth="1"/>
    <col min="6408" max="6409" width="7.42578125" style="2" customWidth="1"/>
    <col min="6410" max="6410" width="8.28515625" style="2" customWidth="1"/>
    <col min="6411" max="6411" width="8.5703125" style="2" bestFit="1" customWidth="1"/>
    <col min="6412" max="6412" width="7.85546875" style="2" customWidth="1"/>
    <col min="6413" max="6413" width="7" style="2" customWidth="1"/>
    <col min="6414" max="6414" width="5.42578125" style="2" customWidth="1"/>
    <col min="6415" max="6415" width="8.85546875" style="2" customWidth="1"/>
    <col min="6416" max="6416" width="8.5703125" style="2" customWidth="1"/>
    <col min="6417" max="6657" width="6.140625" style="2"/>
    <col min="6658" max="6658" width="3.85546875" style="2" customWidth="1"/>
    <col min="6659" max="6659" width="25.140625" style="2" customWidth="1"/>
    <col min="6660" max="6660" width="9.5703125" style="2" customWidth="1"/>
    <col min="6661" max="6661" width="7.7109375" style="2" customWidth="1"/>
    <col min="6662" max="6662" width="7.42578125" style="2" customWidth="1"/>
    <col min="6663" max="6663" width="6.7109375" style="2" customWidth="1"/>
    <col min="6664" max="6665" width="7.42578125" style="2" customWidth="1"/>
    <col min="6666" max="6666" width="8.28515625" style="2" customWidth="1"/>
    <col min="6667" max="6667" width="8.5703125" style="2" bestFit="1" customWidth="1"/>
    <col min="6668" max="6668" width="7.85546875" style="2" customWidth="1"/>
    <col min="6669" max="6669" width="7" style="2" customWidth="1"/>
    <col min="6670" max="6670" width="5.42578125" style="2" customWidth="1"/>
    <col min="6671" max="6671" width="8.85546875" style="2" customWidth="1"/>
    <col min="6672" max="6672" width="8.5703125" style="2" customWidth="1"/>
    <col min="6673" max="6913" width="6.140625" style="2"/>
    <col min="6914" max="6914" width="3.85546875" style="2" customWidth="1"/>
    <col min="6915" max="6915" width="25.140625" style="2" customWidth="1"/>
    <col min="6916" max="6916" width="9.5703125" style="2" customWidth="1"/>
    <col min="6917" max="6917" width="7.7109375" style="2" customWidth="1"/>
    <col min="6918" max="6918" width="7.42578125" style="2" customWidth="1"/>
    <col min="6919" max="6919" width="6.7109375" style="2" customWidth="1"/>
    <col min="6920" max="6921" width="7.42578125" style="2" customWidth="1"/>
    <col min="6922" max="6922" width="8.28515625" style="2" customWidth="1"/>
    <col min="6923" max="6923" width="8.5703125" style="2" bestFit="1" customWidth="1"/>
    <col min="6924" max="6924" width="7.85546875" style="2" customWidth="1"/>
    <col min="6925" max="6925" width="7" style="2" customWidth="1"/>
    <col min="6926" max="6926" width="5.42578125" style="2" customWidth="1"/>
    <col min="6927" max="6927" width="8.85546875" style="2" customWidth="1"/>
    <col min="6928" max="6928" width="8.5703125" style="2" customWidth="1"/>
    <col min="6929" max="7169" width="6.140625" style="2"/>
    <col min="7170" max="7170" width="3.85546875" style="2" customWidth="1"/>
    <col min="7171" max="7171" width="25.140625" style="2" customWidth="1"/>
    <col min="7172" max="7172" width="9.5703125" style="2" customWidth="1"/>
    <col min="7173" max="7173" width="7.7109375" style="2" customWidth="1"/>
    <col min="7174" max="7174" width="7.42578125" style="2" customWidth="1"/>
    <col min="7175" max="7175" width="6.7109375" style="2" customWidth="1"/>
    <col min="7176" max="7177" width="7.42578125" style="2" customWidth="1"/>
    <col min="7178" max="7178" width="8.28515625" style="2" customWidth="1"/>
    <col min="7179" max="7179" width="8.5703125" style="2" bestFit="1" customWidth="1"/>
    <col min="7180" max="7180" width="7.85546875" style="2" customWidth="1"/>
    <col min="7181" max="7181" width="7" style="2" customWidth="1"/>
    <col min="7182" max="7182" width="5.42578125" style="2" customWidth="1"/>
    <col min="7183" max="7183" width="8.85546875" style="2" customWidth="1"/>
    <col min="7184" max="7184" width="8.5703125" style="2" customWidth="1"/>
    <col min="7185" max="7425" width="6.140625" style="2"/>
    <col min="7426" max="7426" width="3.85546875" style="2" customWidth="1"/>
    <col min="7427" max="7427" width="25.140625" style="2" customWidth="1"/>
    <col min="7428" max="7428" width="9.5703125" style="2" customWidth="1"/>
    <col min="7429" max="7429" width="7.7109375" style="2" customWidth="1"/>
    <col min="7430" max="7430" width="7.42578125" style="2" customWidth="1"/>
    <col min="7431" max="7431" width="6.7109375" style="2" customWidth="1"/>
    <col min="7432" max="7433" width="7.42578125" style="2" customWidth="1"/>
    <col min="7434" max="7434" width="8.28515625" style="2" customWidth="1"/>
    <col min="7435" max="7435" width="8.5703125" style="2" bestFit="1" customWidth="1"/>
    <col min="7436" max="7436" width="7.85546875" style="2" customWidth="1"/>
    <col min="7437" max="7437" width="7" style="2" customWidth="1"/>
    <col min="7438" max="7438" width="5.42578125" style="2" customWidth="1"/>
    <col min="7439" max="7439" width="8.85546875" style="2" customWidth="1"/>
    <col min="7440" max="7440" width="8.5703125" style="2" customWidth="1"/>
    <col min="7441" max="7681" width="6.140625" style="2"/>
    <col min="7682" max="7682" width="3.85546875" style="2" customWidth="1"/>
    <col min="7683" max="7683" width="25.140625" style="2" customWidth="1"/>
    <col min="7684" max="7684" width="9.5703125" style="2" customWidth="1"/>
    <col min="7685" max="7685" width="7.7109375" style="2" customWidth="1"/>
    <col min="7686" max="7686" width="7.42578125" style="2" customWidth="1"/>
    <col min="7687" max="7687" width="6.7109375" style="2" customWidth="1"/>
    <col min="7688" max="7689" width="7.42578125" style="2" customWidth="1"/>
    <col min="7690" max="7690" width="8.28515625" style="2" customWidth="1"/>
    <col min="7691" max="7691" width="8.5703125" style="2" bestFit="1" customWidth="1"/>
    <col min="7692" max="7692" width="7.85546875" style="2" customWidth="1"/>
    <col min="7693" max="7693" width="7" style="2" customWidth="1"/>
    <col min="7694" max="7694" width="5.42578125" style="2" customWidth="1"/>
    <col min="7695" max="7695" width="8.85546875" style="2" customWidth="1"/>
    <col min="7696" max="7696" width="8.5703125" style="2" customWidth="1"/>
    <col min="7697" max="7937" width="6.140625" style="2"/>
    <col min="7938" max="7938" width="3.85546875" style="2" customWidth="1"/>
    <col min="7939" max="7939" width="25.140625" style="2" customWidth="1"/>
    <col min="7940" max="7940" width="9.5703125" style="2" customWidth="1"/>
    <col min="7941" max="7941" width="7.7109375" style="2" customWidth="1"/>
    <col min="7942" max="7942" width="7.42578125" style="2" customWidth="1"/>
    <col min="7943" max="7943" width="6.7109375" style="2" customWidth="1"/>
    <col min="7944" max="7945" width="7.42578125" style="2" customWidth="1"/>
    <col min="7946" max="7946" width="8.28515625" style="2" customWidth="1"/>
    <col min="7947" max="7947" width="8.5703125" style="2" bestFit="1" customWidth="1"/>
    <col min="7948" max="7948" width="7.85546875" style="2" customWidth="1"/>
    <col min="7949" max="7949" width="7" style="2" customWidth="1"/>
    <col min="7950" max="7950" width="5.42578125" style="2" customWidth="1"/>
    <col min="7951" max="7951" width="8.85546875" style="2" customWidth="1"/>
    <col min="7952" max="7952" width="8.5703125" style="2" customWidth="1"/>
    <col min="7953" max="8193" width="6.140625" style="2"/>
    <col min="8194" max="8194" width="3.85546875" style="2" customWidth="1"/>
    <col min="8195" max="8195" width="25.140625" style="2" customWidth="1"/>
    <col min="8196" max="8196" width="9.5703125" style="2" customWidth="1"/>
    <col min="8197" max="8197" width="7.7109375" style="2" customWidth="1"/>
    <col min="8198" max="8198" width="7.42578125" style="2" customWidth="1"/>
    <col min="8199" max="8199" width="6.7109375" style="2" customWidth="1"/>
    <col min="8200" max="8201" width="7.42578125" style="2" customWidth="1"/>
    <col min="8202" max="8202" width="8.28515625" style="2" customWidth="1"/>
    <col min="8203" max="8203" width="8.5703125" style="2" bestFit="1" customWidth="1"/>
    <col min="8204" max="8204" width="7.85546875" style="2" customWidth="1"/>
    <col min="8205" max="8205" width="7" style="2" customWidth="1"/>
    <col min="8206" max="8206" width="5.42578125" style="2" customWidth="1"/>
    <col min="8207" max="8207" width="8.85546875" style="2" customWidth="1"/>
    <col min="8208" max="8208" width="8.5703125" style="2" customWidth="1"/>
    <col min="8209" max="8449" width="6.140625" style="2"/>
    <col min="8450" max="8450" width="3.85546875" style="2" customWidth="1"/>
    <col min="8451" max="8451" width="25.140625" style="2" customWidth="1"/>
    <col min="8452" max="8452" width="9.5703125" style="2" customWidth="1"/>
    <col min="8453" max="8453" width="7.7109375" style="2" customWidth="1"/>
    <col min="8454" max="8454" width="7.42578125" style="2" customWidth="1"/>
    <col min="8455" max="8455" width="6.7109375" style="2" customWidth="1"/>
    <col min="8456" max="8457" width="7.42578125" style="2" customWidth="1"/>
    <col min="8458" max="8458" width="8.28515625" style="2" customWidth="1"/>
    <col min="8459" max="8459" width="8.5703125" style="2" bestFit="1" customWidth="1"/>
    <col min="8460" max="8460" width="7.85546875" style="2" customWidth="1"/>
    <col min="8461" max="8461" width="7" style="2" customWidth="1"/>
    <col min="8462" max="8462" width="5.42578125" style="2" customWidth="1"/>
    <col min="8463" max="8463" width="8.85546875" style="2" customWidth="1"/>
    <col min="8464" max="8464" width="8.5703125" style="2" customWidth="1"/>
    <col min="8465" max="8705" width="6.140625" style="2"/>
    <col min="8706" max="8706" width="3.85546875" style="2" customWidth="1"/>
    <col min="8707" max="8707" width="25.140625" style="2" customWidth="1"/>
    <col min="8708" max="8708" width="9.5703125" style="2" customWidth="1"/>
    <col min="8709" max="8709" width="7.7109375" style="2" customWidth="1"/>
    <col min="8710" max="8710" width="7.42578125" style="2" customWidth="1"/>
    <col min="8711" max="8711" width="6.7109375" style="2" customWidth="1"/>
    <col min="8712" max="8713" width="7.42578125" style="2" customWidth="1"/>
    <col min="8714" max="8714" width="8.28515625" style="2" customWidth="1"/>
    <col min="8715" max="8715" width="8.5703125" style="2" bestFit="1" customWidth="1"/>
    <col min="8716" max="8716" width="7.85546875" style="2" customWidth="1"/>
    <col min="8717" max="8717" width="7" style="2" customWidth="1"/>
    <col min="8718" max="8718" width="5.42578125" style="2" customWidth="1"/>
    <col min="8719" max="8719" width="8.85546875" style="2" customWidth="1"/>
    <col min="8720" max="8720" width="8.5703125" style="2" customWidth="1"/>
    <col min="8721" max="8961" width="6.140625" style="2"/>
    <col min="8962" max="8962" width="3.85546875" style="2" customWidth="1"/>
    <col min="8963" max="8963" width="25.140625" style="2" customWidth="1"/>
    <col min="8964" max="8964" width="9.5703125" style="2" customWidth="1"/>
    <col min="8965" max="8965" width="7.7109375" style="2" customWidth="1"/>
    <col min="8966" max="8966" width="7.42578125" style="2" customWidth="1"/>
    <col min="8967" max="8967" width="6.7109375" style="2" customWidth="1"/>
    <col min="8968" max="8969" width="7.42578125" style="2" customWidth="1"/>
    <col min="8970" max="8970" width="8.28515625" style="2" customWidth="1"/>
    <col min="8971" max="8971" width="8.5703125" style="2" bestFit="1" customWidth="1"/>
    <col min="8972" max="8972" width="7.85546875" style="2" customWidth="1"/>
    <col min="8973" max="8973" width="7" style="2" customWidth="1"/>
    <col min="8974" max="8974" width="5.42578125" style="2" customWidth="1"/>
    <col min="8975" max="8975" width="8.85546875" style="2" customWidth="1"/>
    <col min="8976" max="8976" width="8.5703125" style="2" customWidth="1"/>
    <col min="8977" max="9217" width="6.140625" style="2"/>
    <col min="9218" max="9218" width="3.85546875" style="2" customWidth="1"/>
    <col min="9219" max="9219" width="25.140625" style="2" customWidth="1"/>
    <col min="9220" max="9220" width="9.5703125" style="2" customWidth="1"/>
    <col min="9221" max="9221" width="7.7109375" style="2" customWidth="1"/>
    <col min="9222" max="9222" width="7.42578125" style="2" customWidth="1"/>
    <col min="9223" max="9223" width="6.7109375" style="2" customWidth="1"/>
    <col min="9224" max="9225" width="7.42578125" style="2" customWidth="1"/>
    <col min="9226" max="9226" width="8.28515625" style="2" customWidth="1"/>
    <col min="9227" max="9227" width="8.5703125" style="2" bestFit="1" customWidth="1"/>
    <col min="9228" max="9228" width="7.85546875" style="2" customWidth="1"/>
    <col min="9229" max="9229" width="7" style="2" customWidth="1"/>
    <col min="9230" max="9230" width="5.42578125" style="2" customWidth="1"/>
    <col min="9231" max="9231" width="8.85546875" style="2" customWidth="1"/>
    <col min="9232" max="9232" width="8.5703125" style="2" customWidth="1"/>
    <col min="9233" max="9473" width="6.140625" style="2"/>
    <col min="9474" max="9474" width="3.85546875" style="2" customWidth="1"/>
    <col min="9475" max="9475" width="25.140625" style="2" customWidth="1"/>
    <col min="9476" max="9476" width="9.5703125" style="2" customWidth="1"/>
    <col min="9477" max="9477" width="7.7109375" style="2" customWidth="1"/>
    <col min="9478" max="9478" width="7.42578125" style="2" customWidth="1"/>
    <col min="9479" max="9479" width="6.7109375" style="2" customWidth="1"/>
    <col min="9480" max="9481" width="7.42578125" style="2" customWidth="1"/>
    <col min="9482" max="9482" width="8.28515625" style="2" customWidth="1"/>
    <col min="9483" max="9483" width="8.5703125" style="2" bestFit="1" customWidth="1"/>
    <col min="9484" max="9484" width="7.85546875" style="2" customWidth="1"/>
    <col min="9485" max="9485" width="7" style="2" customWidth="1"/>
    <col min="9486" max="9486" width="5.42578125" style="2" customWidth="1"/>
    <col min="9487" max="9487" width="8.85546875" style="2" customWidth="1"/>
    <col min="9488" max="9488" width="8.5703125" style="2" customWidth="1"/>
    <col min="9489" max="9729" width="6.140625" style="2"/>
    <col min="9730" max="9730" width="3.85546875" style="2" customWidth="1"/>
    <col min="9731" max="9731" width="25.140625" style="2" customWidth="1"/>
    <col min="9732" max="9732" width="9.5703125" style="2" customWidth="1"/>
    <col min="9733" max="9733" width="7.7109375" style="2" customWidth="1"/>
    <col min="9734" max="9734" width="7.42578125" style="2" customWidth="1"/>
    <col min="9735" max="9735" width="6.7109375" style="2" customWidth="1"/>
    <col min="9736" max="9737" width="7.42578125" style="2" customWidth="1"/>
    <col min="9738" max="9738" width="8.28515625" style="2" customWidth="1"/>
    <col min="9739" max="9739" width="8.5703125" style="2" bestFit="1" customWidth="1"/>
    <col min="9740" max="9740" width="7.85546875" style="2" customWidth="1"/>
    <col min="9741" max="9741" width="7" style="2" customWidth="1"/>
    <col min="9742" max="9742" width="5.42578125" style="2" customWidth="1"/>
    <col min="9743" max="9743" width="8.85546875" style="2" customWidth="1"/>
    <col min="9744" max="9744" width="8.5703125" style="2" customWidth="1"/>
    <col min="9745" max="9985" width="6.140625" style="2"/>
    <col min="9986" max="9986" width="3.85546875" style="2" customWidth="1"/>
    <col min="9987" max="9987" width="25.140625" style="2" customWidth="1"/>
    <col min="9988" max="9988" width="9.5703125" style="2" customWidth="1"/>
    <col min="9989" max="9989" width="7.7109375" style="2" customWidth="1"/>
    <col min="9990" max="9990" width="7.42578125" style="2" customWidth="1"/>
    <col min="9991" max="9991" width="6.7109375" style="2" customWidth="1"/>
    <col min="9992" max="9993" width="7.42578125" style="2" customWidth="1"/>
    <col min="9994" max="9994" width="8.28515625" style="2" customWidth="1"/>
    <col min="9995" max="9995" width="8.5703125" style="2" bestFit="1" customWidth="1"/>
    <col min="9996" max="9996" width="7.85546875" style="2" customWidth="1"/>
    <col min="9997" max="9997" width="7" style="2" customWidth="1"/>
    <col min="9998" max="9998" width="5.42578125" style="2" customWidth="1"/>
    <col min="9999" max="9999" width="8.85546875" style="2" customWidth="1"/>
    <col min="10000" max="10000" width="8.5703125" style="2" customWidth="1"/>
    <col min="10001" max="10241" width="6.140625" style="2"/>
    <col min="10242" max="10242" width="3.85546875" style="2" customWidth="1"/>
    <col min="10243" max="10243" width="25.140625" style="2" customWidth="1"/>
    <col min="10244" max="10244" width="9.5703125" style="2" customWidth="1"/>
    <col min="10245" max="10245" width="7.7109375" style="2" customWidth="1"/>
    <col min="10246" max="10246" width="7.42578125" style="2" customWidth="1"/>
    <col min="10247" max="10247" width="6.7109375" style="2" customWidth="1"/>
    <col min="10248" max="10249" width="7.42578125" style="2" customWidth="1"/>
    <col min="10250" max="10250" width="8.28515625" style="2" customWidth="1"/>
    <col min="10251" max="10251" width="8.5703125" style="2" bestFit="1" customWidth="1"/>
    <col min="10252" max="10252" width="7.85546875" style="2" customWidth="1"/>
    <col min="10253" max="10253" width="7" style="2" customWidth="1"/>
    <col min="10254" max="10254" width="5.42578125" style="2" customWidth="1"/>
    <col min="10255" max="10255" width="8.85546875" style="2" customWidth="1"/>
    <col min="10256" max="10256" width="8.5703125" style="2" customWidth="1"/>
    <col min="10257" max="10497" width="6.140625" style="2"/>
    <col min="10498" max="10498" width="3.85546875" style="2" customWidth="1"/>
    <col min="10499" max="10499" width="25.140625" style="2" customWidth="1"/>
    <col min="10500" max="10500" width="9.5703125" style="2" customWidth="1"/>
    <col min="10501" max="10501" width="7.7109375" style="2" customWidth="1"/>
    <col min="10502" max="10502" width="7.42578125" style="2" customWidth="1"/>
    <col min="10503" max="10503" width="6.7109375" style="2" customWidth="1"/>
    <col min="10504" max="10505" width="7.42578125" style="2" customWidth="1"/>
    <col min="10506" max="10506" width="8.28515625" style="2" customWidth="1"/>
    <col min="10507" max="10507" width="8.5703125" style="2" bestFit="1" customWidth="1"/>
    <col min="10508" max="10508" width="7.85546875" style="2" customWidth="1"/>
    <col min="10509" max="10509" width="7" style="2" customWidth="1"/>
    <col min="10510" max="10510" width="5.42578125" style="2" customWidth="1"/>
    <col min="10511" max="10511" width="8.85546875" style="2" customWidth="1"/>
    <col min="10512" max="10512" width="8.5703125" style="2" customWidth="1"/>
    <col min="10513" max="10753" width="6.140625" style="2"/>
    <col min="10754" max="10754" width="3.85546875" style="2" customWidth="1"/>
    <col min="10755" max="10755" width="25.140625" style="2" customWidth="1"/>
    <col min="10756" max="10756" width="9.5703125" style="2" customWidth="1"/>
    <col min="10757" max="10757" width="7.7109375" style="2" customWidth="1"/>
    <col min="10758" max="10758" width="7.42578125" style="2" customWidth="1"/>
    <col min="10759" max="10759" width="6.7109375" style="2" customWidth="1"/>
    <col min="10760" max="10761" width="7.42578125" style="2" customWidth="1"/>
    <col min="10762" max="10762" width="8.28515625" style="2" customWidth="1"/>
    <col min="10763" max="10763" width="8.5703125" style="2" bestFit="1" customWidth="1"/>
    <col min="10764" max="10764" width="7.85546875" style="2" customWidth="1"/>
    <col min="10765" max="10765" width="7" style="2" customWidth="1"/>
    <col min="10766" max="10766" width="5.42578125" style="2" customWidth="1"/>
    <col min="10767" max="10767" width="8.85546875" style="2" customWidth="1"/>
    <col min="10768" max="10768" width="8.5703125" style="2" customWidth="1"/>
    <col min="10769" max="11009" width="6.140625" style="2"/>
    <col min="11010" max="11010" width="3.85546875" style="2" customWidth="1"/>
    <col min="11011" max="11011" width="25.140625" style="2" customWidth="1"/>
    <col min="11012" max="11012" width="9.5703125" style="2" customWidth="1"/>
    <col min="11013" max="11013" width="7.7109375" style="2" customWidth="1"/>
    <col min="11014" max="11014" width="7.42578125" style="2" customWidth="1"/>
    <col min="11015" max="11015" width="6.7109375" style="2" customWidth="1"/>
    <col min="11016" max="11017" width="7.42578125" style="2" customWidth="1"/>
    <col min="11018" max="11018" width="8.28515625" style="2" customWidth="1"/>
    <col min="11019" max="11019" width="8.5703125" style="2" bestFit="1" customWidth="1"/>
    <col min="11020" max="11020" width="7.85546875" style="2" customWidth="1"/>
    <col min="11021" max="11021" width="7" style="2" customWidth="1"/>
    <col min="11022" max="11022" width="5.42578125" style="2" customWidth="1"/>
    <col min="11023" max="11023" width="8.85546875" style="2" customWidth="1"/>
    <col min="11024" max="11024" width="8.5703125" style="2" customWidth="1"/>
    <col min="11025" max="11265" width="6.140625" style="2"/>
    <col min="11266" max="11266" width="3.85546875" style="2" customWidth="1"/>
    <col min="11267" max="11267" width="25.140625" style="2" customWidth="1"/>
    <col min="11268" max="11268" width="9.5703125" style="2" customWidth="1"/>
    <col min="11269" max="11269" width="7.7109375" style="2" customWidth="1"/>
    <col min="11270" max="11270" width="7.42578125" style="2" customWidth="1"/>
    <col min="11271" max="11271" width="6.7109375" style="2" customWidth="1"/>
    <col min="11272" max="11273" width="7.42578125" style="2" customWidth="1"/>
    <col min="11274" max="11274" width="8.28515625" style="2" customWidth="1"/>
    <col min="11275" max="11275" width="8.5703125" style="2" bestFit="1" customWidth="1"/>
    <col min="11276" max="11276" width="7.85546875" style="2" customWidth="1"/>
    <col min="11277" max="11277" width="7" style="2" customWidth="1"/>
    <col min="11278" max="11278" width="5.42578125" style="2" customWidth="1"/>
    <col min="11279" max="11279" width="8.85546875" style="2" customWidth="1"/>
    <col min="11280" max="11280" width="8.5703125" style="2" customWidth="1"/>
    <col min="11281" max="11521" width="6.140625" style="2"/>
    <col min="11522" max="11522" width="3.85546875" style="2" customWidth="1"/>
    <col min="11523" max="11523" width="25.140625" style="2" customWidth="1"/>
    <col min="11524" max="11524" width="9.5703125" style="2" customWidth="1"/>
    <col min="11525" max="11525" width="7.7109375" style="2" customWidth="1"/>
    <col min="11526" max="11526" width="7.42578125" style="2" customWidth="1"/>
    <col min="11527" max="11527" width="6.7109375" style="2" customWidth="1"/>
    <col min="11528" max="11529" width="7.42578125" style="2" customWidth="1"/>
    <col min="11530" max="11530" width="8.28515625" style="2" customWidth="1"/>
    <col min="11531" max="11531" width="8.5703125" style="2" bestFit="1" customWidth="1"/>
    <col min="11532" max="11532" width="7.85546875" style="2" customWidth="1"/>
    <col min="11533" max="11533" width="7" style="2" customWidth="1"/>
    <col min="11534" max="11534" width="5.42578125" style="2" customWidth="1"/>
    <col min="11535" max="11535" width="8.85546875" style="2" customWidth="1"/>
    <col min="11536" max="11536" width="8.5703125" style="2" customWidth="1"/>
    <col min="11537" max="11777" width="6.140625" style="2"/>
    <col min="11778" max="11778" width="3.85546875" style="2" customWidth="1"/>
    <col min="11779" max="11779" width="25.140625" style="2" customWidth="1"/>
    <col min="11780" max="11780" width="9.5703125" style="2" customWidth="1"/>
    <col min="11781" max="11781" width="7.7109375" style="2" customWidth="1"/>
    <col min="11782" max="11782" width="7.42578125" style="2" customWidth="1"/>
    <col min="11783" max="11783" width="6.7109375" style="2" customWidth="1"/>
    <col min="11784" max="11785" width="7.42578125" style="2" customWidth="1"/>
    <col min="11786" max="11786" width="8.28515625" style="2" customWidth="1"/>
    <col min="11787" max="11787" width="8.5703125" style="2" bestFit="1" customWidth="1"/>
    <col min="11788" max="11788" width="7.85546875" style="2" customWidth="1"/>
    <col min="11789" max="11789" width="7" style="2" customWidth="1"/>
    <col min="11790" max="11790" width="5.42578125" style="2" customWidth="1"/>
    <col min="11791" max="11791" width="8.85546875" style="2" customWidth="1"/>
    <col min="11792" max="11792" width="8.5703125" style="2" customWidth="1"/>
    <col min="11793" max="12033" width="6.140625" style="2"/>
    <col min="12034" max="12034" width="3.85546875" style="2" customWidth="1"/>
    <col min="12035" max="12035" width="25.140625" style="2" customWidth="1"/>
    <col min="12036" max="12036" width="9.5703125" style="2" customWidth="1"/>
    <col min="12037" max="12037" width="7.7109375" style="2" customWidth="1"/>
    <col min="12038" max="12038" width="7.42578125" style="2" customWidth="1"/>
    <col min="12039" max="12039" width="6.7109375" style="2" customWidth="1"/>
    <col min="12040" max="12041" width="7.42578125" style="2" customWidth="1"/>
    <col min="12042" max="12042" width="8.28515625" style="2" customWidth="1"/>
    <col min="12043" max="12043" width="8.5703125" style="2" bestFit="1" customWidth="1"/>
    <col min="12044" max="12044" width="7.85546875" style="2" customWidth="1"/>
    <col min="12045" max="12045" width="7" style="2" customWidth="1"/>
    <col min="12046" max="12046" width="5.42578125" style="2" customWidth="1"/>
    <col min="12047" max="12047" width="8.85546875" style="2" customWidth="1"/>
    <col min="12048" max="12048" width="8.5703125" style="2" customWidth="1"/>
    <col min="12049" max="12289" width="6.140625" style="2"/>
    <col min="12290" max="12290" width="3.85546875" style="2" customWidth="1"/>
    <col min="12291" max="12291" width="25.140625" style="2" customWidth="1"/>
    <col min="12292" max="12292" width="9.5703125" style="2" customWidth="1"/>
    <col min="12293" max="12293" width="7.7109375" style="2" customWidth="1"/>
    <col min="12294" max="12294" width="7.42578125" style="2" customWidth="1"/>
    <col min="12295" max="12295" width="6.7109375" style="2" customWidth="1"/>
    <col min="12296" max="12297" width="7.42578125" style="2" customWidth="1"/>
    <col min="12298" max="12298" width="8.28515625" style="2" customWidth="1"/>
    <col min="12299" max="12299" width="8.5703125" style="2" bestFit="1" customWidth="1"/>
    <col min="12300" max="12300" width="7.85546875" style="2" customWidth="1"/>
    <col min="12301" max="12301" width="7" style="2" customWidth="1"/>
    <col min="12302" max="12302" width="5.42578125" style="2" customWidth="1"/>
    <col min="12303" max="12303" width="8.85546875" style="2" customWidth="1"/>
    <col min="12304" max="12304" width="8.5703125" style="2" customWidth="1"/>
    <col min="12305" max="12545" width="6.140625" style="2"/>
    <col min="12546" max="12546" width="3.85546875" style="2" customWidth="1"/>
    <col min="12547" max="12547" width="25.140625" style="2" customWidth="1"/>
    <col min="12548" max="12548" width="9.5703125" style="2" customWidth="1"/>
    <col min="12549" max="12549" width="7.7109375" style="2" customWidth="1"/>
    <col min="12550" max="12550" width="7.42578125" style="2" customWidth="1"/>
    <col min="12551" max="12551" width="6.7109375" style="2" customWidth="1"/>
    <col min="12552" max="12553" width="7.42578125" style="2" customWidth="1"/>
    <col min="12554" max="12554" width="8.28515625" style="2" customWidth="1"/>
    <col min="12555" max="12555" width="8.5703125" style="2" bestFit="1" customWidth="1"/>
    <col min="12556" max="12556" width="7.85546875" style="2" customWidth="1"/>
    <col min="12557" max="12557" width="7" style="2" customWidth="1"/>
    <col min="12558" max="12558" width="5.42578125" style="2" customWidth="1"/>
    <col min="12559" max="12559" width="8.85546875" style="2" customWidth="1"/>
    <col min="12560" max="12560" width="8.5703125" style="2" customWidth="1"/>
    <col min="12561" max="12801" width="6.140625" style="2"/>
    <col min="12802" max="12802" width="3.85546875" style="2" customWidth="1"/>
    <col min="12803" max="12803" width="25.140625" style="2" customWidth="1"/>
    <col min="12804" max="12804" width="9.5703125" style="2" customWidth="1"/>
    <col min="12805" max="12805" width="7.7109375" style="2" customWidth="1"/>
    <col min="12806" max="12806" width="7.42578125" style="2" customWidth="1"/>
    <col min="12807" max="12807" width="6.7109375" style="2" customWidth="1"/>
    <col min="12808" max="12809" width="7.42578125" style="2" customWidth="1"/>
    <col min="12810" max="12810" width="8.28515625" style="2" customWidth="1"/>
    <col min="12811" max="12811" width="8.5703125" style="2" bestFit="1" customWidth="1"/>
    <col min="12812" max="12812" width="7.85546875" style="2" customWidth="1"/>
    <col min="12813" max="12813" width="7" style="2" customWidth="1"/>
    <col min="12814" max="12814" width="5.42578125" style="2" customWidth="1"/>
    <col min="12815" max="12815" width="8.85546875" style="2" customWidth="1"/>
    <col min="12816" max="12816" width="8.5703125" style="2" customWidth="1"/>
    <col min="12817" max="13057" width="6.140625" style="2"/>
    <col min="13058" max="13058" width="3.85546875" style="2" customWidth="1"/>
    <col min="13059" max="13059" width="25.140625" style="2" customWidth="1"/>
    <col min="13060" max="13060" width="9.5703125" style="2" customWidth="1"/>
    <col min="13061" max="13061" width="7.7109375" style="2" customWidth="1"/>
    <col min="13062" max="13062" width="7.42578125" style="2" customWidth="1"/>
    <col min="13063" max="13063" width="6.7109375" style="2" customWidth="1"/>
    <col min="13064" max="13065" width="7.42578125" style="2" customWidth="1"/>
    <col min="13066" max="13066" width="8.28515625" style="2" customWidth="1"/>
    <col min="13067" max="13067" width="8.5703125" style="2" bestFit="1" customWidth="1"/>
    <col min="13068" max="13068" width="7.85546875" style="2" customWidth="1"/>
    <col min="13069" max="13069" width="7" style="2" customWidth="1"/>
    <col min="13070" max="13070" width="5.42578125" style="2" customWidth="1"/>
    <col min="13071" max="13071" width="8.85546875" style="2" customWidth="1"/>
    <col min="13072" max="13072" width="8.5703125" style="2" customWidth="1"/>
    <col min="13073" max="13313" width="6.140625" style="2"/>
    <col min="13314" max="13314" width="3.85546875" style="2" customWidth="1"/>
    <col min="13315" max="13315" width="25.140625" style="2" customWidth="1"/>
    <col min="13316" max="13316" width="9.5703125" style="2" customWidth="1"/>
    <col min="13317" max="13317" width="7.7109375" style="2" customWidth="1"/>
    <col min="13318" max="13318" width="7.42578125" style="2" customWidth="1"/>
    <col min="13319" max="13319" width="6.7109375" style="2" customWidth="1"/>
    <col min="13320" max="13321" width="7.42578125" style="2" customWidth="1"/>
    <col min="13322" max="13322" width="8.28515625" style="2" customWidth="1"/>
    <col min="13323" max="13323" width="8.5703125" style="2" bestFit="1" customWidth="1"/>
    <col min="13324" max="13324" width="7.85546875" style="2" customWidth="1"/>
    <col min="13325" max="13325" width="7" style="2" customWidth="1"/>
    <col min="13326" max="13326" width="5.42578125" style="2" customWidth="1"/>
    <col min="13327" max="13327" width="8.85546875" style="2" customWidth="1"/>
    <col min="13328" max="13328" width="8.5703125" style="2" customWidth="1"/>
    <col min="13329" max="13569" width="6.140625" style="2"/>
    <col min="13570" max="13570" width="3.85546875" style="2" customWidth="1"/>
    <col min="13571" max="13571" width="25.140625" style="2" customWidth="1"/>
    <col min="13572" max="13572" width="9.5703125" style="2" customWidth="1"/>
    <col min="13573" max="13573" width="7.7109375" style="2" customWidth="1"/>
    <col min="13574" max="13574" width="7.42578125" style="2" customWidth="1"/>
    <col min="13575" max="13575" width="6.7109375" style="2" customWidth="1"/>
    <col min="13576" max="13577" width="7.42578125" style="2" customWidth="1"/>
    <col min="13578" max="13578" width="8.28515625" style="2" customWidth="1"/>
    <col min="13579" max="13579" width="8.5703125" style="2" bestFit="1" customWidth="1"/>
    <col min="13580" max="13580" width="7.85546875" style="2" customWidth="1"/>
    <col min="13581" max="13581" width="7" style="2" customWidth="1"/>
    <col min="13582" max="13582" width="5.42578125" style="2" customWidth="1"/>
    <col min="13583" max="13583" width="8.85546875" style="2" customWidth="1"/>
    <col min="13584" max="13584" width="8.5703125" style="2" customWidth="1"/>
    <col min="13585" max="13825" width="6.140625" style="2"/>
    <col min="13826" max="13826" width="3.85546875" style="2" customWidth="1"/>
    <col min="13827" max="13827" width="25.140625" style="2" customWidth="1"/>
    <col min="13828" max="13828" width="9.5703125" style="2" customWidth="1"/>
    <col min="13829" max="13829" width="7.7109375" style="2" customWidth="1"/>
    <col min="13830" max="13830" width="7.42578125" style="2" customWidth="1"/>
    <col min="13831" max="13831" width="6.7109375" style="2" customWidth="1"/>
    <col min="13832" max="13833" width="7.42578125" style="2" customWidth="1"/>
    <col min="13834" max="13834" width="8.28515625" style="2" customWidth="1"/>
    <col min="13835" max="13835" width="8.5703125" style="2" bestFit="1" customWidth="1"/>
    <col min="13836" max="13836" width="7.85546875" style="2" customWidth="1"/>
    <col min="13837" max="13837" width="7" style="2" customWidth="1"/>
    <col min="13838" max="13838" width="5.42578125" style="2" customWidth="1"/>
    <col min="13839" max="13839" width="8.85546875" style="2" customWidth="1"/>
    <col min="13840" max="13840" width="8.5703125" style="2" customWidth="1"/>
    <col min="13841" max="14081" width="6.140625" style="2"/>
    <col min="14082" max="14082" width="3.85546875" style="2" customWidth="1"/>
    <col min="14083" max="14083" width="25.140625" style="2" customWidth="1"/>
    <col min="14084" max="14084" width="9.5703125" style="2" customWidth="1"/>
    <col min="14085" max="14085" width="7.7109375" style="2" customWidth="1"/>
    <col min="14086" max="14086" width="7.42578125" style="2" customWidth="1"/>
    <col min="14087" max="14087" width="6.7109375" style="2" customWidth="1"/>
    <col min="14088" max="14089" width="7.42578125" style="2" customWidth="1"/>
    <col min="14090" max="14090" width="8.28515625" style="2" customWidth="1"/>
    <col min="14091" max="14091" width="8.5703125" style="2" bestFit="1" customWidth="1"/>
    <col min="14092" max="14092" width="7.85546875" style="2" customWidth="1"/>
    <col min="14093" max="14093" width="7" style="2" customWidth="1"/>
    <col min="14094" max="14094" width="5.42578125" style="2" customWidth="1"/>
    <col min="14095" max="14095" width="8.85546875" style="2" customWidth="1"/>
    <col min="14096" max="14096" width="8.5703125" style="2" customWidth="1"/>
    <col min="14097" max="14337" width="6.140625" style="2"/>
    <col min="14338" max="14338" width="3.85546875" style="2" customWidth="1"/>
    <col min="14339" max="14339" width="25.140625" style="2" customWidth="1"/>
    <col min="14340" max="14340" width="9.5703125" style="2" customWidth="1"/>
    <col min="14341" max="14341" width="7.7109375" style="2" customWidth="1"/>
    <col min="14342" max="14342" width="7.42578125" style="2" customWidth="1"/>
    <col min="14343" max="14343" width="6.7109375" style="2" customWidth="1"/>
    <col min="14344" max="14345" width="7.42578125" style="2" customWidth="1"/>
    <col min="14346" max="14346" width="8.28515625" style="2" customWidth="1"/>
    <col min="14347" max="14347" width="8.5703125" style="2" bestFit="1" customWidth="1"/>
    <col min="14348" max="14348" width="7.85546875" style="2" customWidth="1"/>
    <col min="14349" max="14349" width="7" style="2" customWidth="1"/>
    <col min="14350" max="14350" width="5.42578125" style="2" customWidth="1"/>
    <col min="14351" max="14351" width="8.85546875" style="2" customWidth="1"/>
    <col min="14352" max="14352" width="8.5703125" style="2" customWidth="1"/>
    <col min="14353" max="14593" width="6.140625" style="2"/>
    <col min="14594" max="14594" width="3.85546875" style="2" customWidth="1"/>
    <col min="14595" max="14595" width="25.140625" style="2" customWidth="1"/>
    <col min="14596" max="14596" width="9.5703125" style="2" customWidth="1"/>
    <col min="14597" max="14597" width="7.7109375" style="2" customWidth="1"/>
    <col min="14598" max="14598" width="7.42578125" style="2" customWidth="1"/>
    <col min="14599" max="14599" width="6.7109375" style="2" customWidth="1"/>
    <col min="14600" max="14601" width="7.42578125" style="2" customWidth="1"/>
    <col min="14602" max="14602" width="8.28515625" style="2" customWidth="1"/>
    <col min="14603" max="14603" width="8.5703125" style="2" bestFit="1" customWidth="1"/>
    <col min="14604" max="14604" width="7.85546875" style="2" customWidth="1"/>
    <col min="14605" max="14605" width="7" style="2" customWidth="1"/>
    <col min="14606" max="14606" width="5.42578125" style="2" customWidth="1"/>
    <col min="14607" max="14607" width="8.85546875" style="2" customWidth="1"/>
    <col min="14608" max="14608" width="8.5703125" style="2" customWidth="1"/>
    <col min="14609" max="14849" width="6.140625" style="2"/>
    <col min="14850" max="14850" width="3.85546875" style="2" customWidth="1"/>
    <col min="14851" max="14851" width="25.140625" style="2" customWidth="1"/>
    <col min="14852" max="14852" width="9.5703125" style="2" customWidth="1"/>
    <col min="14853" max="14853" width="7.7109375" style="2" customWidth="1"/>
    <col min="14854" max="14854" width="7.42578125" style="2" customWidth="1"/>
    <col min="14855" max="14855" width="6.7109375" style="2" customWidth="1"/>
    <col min="14856" max="14857" width="7.42578125" style="2" customWidth="1"/>
    <col min="14858" max="14858" width="8.28515625" style="2" customWidth="1"/>
    <col min="14859" max="14859" width="8.5703125" style="2" bestFit="1" customWidth="1"/>
    <col min="14860" max="14860" width="7.85546875" style="2" customWidth="1"/>
    <col min="14861" max="14861" width="7" style="2" customWidth="1"/>
    <col min="14862" max="14862" width="5.42578125" style="2" customWidth="1"/>
    <col min="14863" max="14863" width="8.85546875" style="2" customWidth="1"/>
    <col min="14864" max="14864" width="8.5703125" style="2" customWidth="1"/>
    <col min="14865" max="15105" width="6.140625" style="2"/>
    <col min="15106" max="15106" width="3.85546875" style="2" customWidth="1"/>
    <col min="15107" max="15107" width="25.140625" style="2" customWidth="1"/>
    <col min="15108" max="15108" width="9.5703125" style="2" customWidth="1"/>
    <col min="15109" max="15109" width="7.7109375" style="2" customWidth="1"/>
    <col min="15110" max="15110" width="7.42578125" style="2" customWidth="1"/>
    <col min="15111" max="15111" width="6.7109375" style="2" customWidth="1"/>
    <col min="15112" max="15113" width="7.42578125" style="2" customWidth="1"/>
    <col min="15114" max="15114" width="8.28515625" style="2" customWidth="1"/>
    <col min="15115" max="15115" width="8.5703125" style="2" bestFit="1" customWidth="1"/>
    <col min="15116" max="15116" width="7.85546875" style="2" customWidth="1"/>
    <col min="15117" max="15117" width="7" style="2" customWidth="1"/>
    <col min="15118" max="15118" width="5.42578125" style="2" customWidth="1"/>
    <col min="15119" max="15119" width="8.85546875" style="2" customWidth="1"/>
    <col min="15120" max="15120" width="8.5703125" style="2" customWidth="1"/>
    <col min="15121" max="15361" width="6.140625" style="2"/>
    <col min="15362" max="15362" width="3.85546875" style="2" customWidth="1"/>
    <col min="15363" max="15363" width="25.140625" style="2" customWidth="1"/>
    <col min="15364" max="15364" width="9.5703125" style="2" customWidth="1"/>
    <col min="15365" max="15365" width="7.7109375" style="2" customWidth="1"/>
    <col min="15366" max="15366" width="7.42578125" style="2" customWidth="1"/>
    <col min="15367" max="15367" width="6.7109375" style="2" customWidth="1"/>
    <col min="15368" max="15369" width="7.42578125" style="2" customWidth="1"/>
    <col min="15370" max="15370" width="8.28515625" style="2" customWidth="1"/>
    <col min="15371" max="15371" width="8.5703125" style="2" bestFit="1" customWidth="1"/>
    <col min="15372" max="15372" width="7.85546875" style="2" customWidth="1"/>
    <col min="15373" max="15373" width="7" style="2" customWidth="1"/>
    <col min="15374" max="15374" width="5.42578125" style="2" customWidth="1"/>
    <col min="15375" max="15375" width="8.85546875" style="2" customWidth="1"/>
    <col min="15376" max="15376" width="8.5703125" style="2" customWidth="1"/>
    <col min="15377" max="15617" width="6.140625" style="2"/>
    <col min="15618" max="15618" width="3.85546875" style="2" customWidth="1"/>
    <col min="15619" max="15619" width="25.140625" style="2" customWidth="1"/>
    <col min="15620" max="15620" width="9.5703125" style="2" customWidth="1"/>
    <col min="15621" max="15621" width="7.7109375" style="2" customWidth="1"/>
    <col min="15622" max="15622" width="7.42578125" style="2" customWidth="1"/>
    <col min="15623" max="15623" width="6.7109375" style="2" customWidth="1"/>
    <col min="15624" max="15625" width="7.42578125" style="2" customWidth="1"/>
    <col min="15626" max="15626" width="8.28515625" style="2" customWidth="1"/>
    <col min="15627" max="15627" width="8.5703125" style="2" bestFit="1" customWidth="1"/>
    <col min="15628" max="15628" width="7.85546875" style="2" customWidth="1"/>
    <col min="15629" max="15629" width="7" style="2" customWidth="1"/>
    <col min="15630" max="15630" width="5.42578125" style="2" customWidth="1"/>
    <col min="15631" max="15631" width="8.85546875" style="2" customWidth="1"/>
    <col min="15632" max="15632" width="8.5703125" style="2" customWidth="1"/>
    <col min="15633" max="15873" width="6.140625" style="2"/>
    <col min="15874" max="15874" width="3.85546875" style="2" customWidth="1"/>
    <col min="15875" max="15875" width="25.140625" style="2" customWidth="1"/>
    <col min="15876" max="15876" width="9.5703125" style="2" customWidth="1"/>
    <col min="15877" max="15877" width="7.7109375" style="2" customWidth="1"/>
    <col min="15878" max="15878" width="7.42578125" style="2" customWidth="1"/>
    <col min="15879" max="15879" width="6.7109375" style="2" customWidth="1"/>
    <col min="15880" max="15881" width="7.42578125" style="2" customWidth="1"/>
    <col min="15882" max="15882" width="8.28515625" style="2" customWidth="1"/>
    <col min="15883" max="15883" width="8.5703125" style="2" bestFit="1" customWidth="1"/>
    <col min="15884" max="15884" width="7.85546875" style="2" customWidth="1"/>
    <col min="15885" max="15885" width="7" style="2" customWidth="1"/>
    <col min="15886" max="15886" width="5.42578125" style="2" customWidth="1"/>
    <col min="15887" max="15887" width="8.85546875" style="2" customWidth="1"/>
    <col min="15888" max="15888" width="8.5703125" style="2" customWidth="1"/>
    <col min="15889" max="16129" width="6.140625" style="2"/>
    <col min="16130" max="16130" width="3.85546875" style="2" customWidth="1"/>
    <col min="16131" max="16131" width="25.140625" style="2" customWidth="1"/>
    <col min="16132" max="16132" width="9.5703125" style="2" customWidth="1"/>
    <col min="16133" max="16133" width="7.7109375" style="2" customWidth="1"/>
    <col min="16134" max="16134" width="7.42578125" style="2" customWidth="1"/>
    <col min="16135" max="16135" width="6.7109375" style="2" customWidth="1"/>
    <col min="16136" max="16137" width="7.42578125" style="2" customWidth="1"/>
    <col min="16138" max="16138" width="8.28515625" style="2" customWidth="1"/>
    <col min="16139" max="16139" width="8.5703125" style="2" bestFit="1" customWidth="1"/>
    <col min="16140" max="16140" width="7.85546875" style="2" customWidth="1"/>
    <col min="16141" max="16141" width="7" style="2" customWidth="1"/>
    <col min="16142" max="16142" width="5.42578125" style="2" customWidth="1"/>
    <col min="16143" max="16143" width="8.85546875" style="2" customWidth="1"/>
    <col min="16144" max="16144" width="8.5703125" style="2" customWidth="1"/>
    <col min="16145" max="16384" width="6.140625" style="2"/>
  </cols>
  <sheetData>
    <row r="2" spans="1:21" ht="47.25" customHeight="1" x14ac:dyDescent="0.25">
      <c r="M2" s="122" t="s">
        <v>82</v>
      </c>
      <c r="N2" s="122"/>
      <c r="O2" s="122"/>
      <c r="P2" s="122"/>
      <c r="Q2" s="122"/>
      <c r="R2" s="122"/>
    </row>
    <row r="3" spans="1:21" ht="9.75" customHeight="1" x14ac:dyDescent="0.25">
      <c r="M3" s="123"/>
      <c r="N3" s="123"/>
      <c r="O3" s="123"/>
      <c r="P3" s="123"/>
      <c r="Q3" s="123"/>
      <c r="R3" s="123"/>
      <c r="S3" s="123"/>
      <c r="T3" s="70"/>
      <c r="U3" s="70"/>
    </row>
    <row r="4" spans="1:21" ht="14.25" hidden="1" customHeight="1" x14ac:dyDescent="0.25"/>
    <row r="5" spans="1:21" ht="15" hidden="1" customHeight="1" x14ac:dyDescent="0.25">
      <c r="A5" s="1"/>
      <c r="B5" s="129" t="s">
        <v>81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8"/>
      <c r="R5" s="128"/>
      <c r="S5" s="128"/>
      <c r="T5" s="128"/>
      <c r="U5" s="128"/>
    </row>
    <row r="6" spans="1:21" ht="3" customHeight="1" x14ac:dyDescent="0.25">
      <c r="A6" s="2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8"/>
      <c r="R6" s="128"/>
      <c r="S6" s="128"/>
      <c r="T6" s="128"/>
      <c r="U6" s="128"/>
    </row>
    <row r="7" spans="1:21" ht="15" x14ac:dyDescent="0.25">
      <c r="A7" s="2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8"/>
      <c r="R7" s="128"/>
      <c r="S7" s="128"/>
      <c r="T7" s="128"/>
      <c r="U7" s="128"/>
    </row>
    <row r="8" spans="1:21" ht="42.75" customHeight="1" x14ac:dyDescent="0.25">
      <c r="A8" s="2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21" ht="0.75" customHeight="1" x14ac:dyDescent="0.25"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</row>
    <row r="10" spans="1:21" ht="17.25" customHeight="1" thickBot="1" x14ac:dyDescent="0.3">
      <c r="R10" s="145" t="s">
        <v>69</v>
      </c>
      <c r="S10" s="145"/>
    </row>
    <row r="11" spans="1:21" ht="9" customHeight="1" x14ac:dyDescent="0.25">
      <c r="A11" s="130" t="s">
        <v>0</v>
      </c>
      <c r="B11" s="132" t="s">
        <v>1</v>
      </c>
      <c r="C11" s="134" t="s">
        <v>2</v>
      </c>
      <c r="D11" s="135"/>
      <c r="E11" s="135"/>
      <c r="F11" s="135"/>
      <c r="G11" s="135"/>
      <c r="H11" s="136"/>
      <c r="I11" s="140" t="s">
        <v>63</v>
      </c>
      <c r="J11" s="134" t="s">
        <v>3</v>
      </c>
      <c r="K11" s="135"/>
      <c r="L11" s="135"/>
      <c r="M11" s="135"/>
      <c r="N11" s="135"/>
      <c r="O11" s="135"/>
      <c r="P11" s="135"/>
      <c r="Q11" s="135"/>
      <c r="R11" s="140" t="s">
        <v>66</v>
      </c>
      <c r="S11" s="140" t="s">
        <v>67</v>
      </c>
    </row>
    <row r="12" spans="1:21" ht="10.5" customHeight="1" thickBot="1" x14ac:dyDescent="0.3">
      <c r="A12" s="131"/>
      <c r="B12" s="133"/>
      <c r="C12" s="137"/>
      <c r="D12" s="138"/>
      <c r="E12" s="138"/>
      <c r="F12" s="138"/>
      <c r="G12" s="138"/>
      <c r="H12" s="139"/>
      <c r="I12" s="143"/>
      <c r="J12" s="137"/>
      <c r="K12" s="138"/>
      <c r="L12" s="138"/>
      <c r="M12" s="138"/>
      <c r="N12" s="138"/>
      <c r="O12" s="138"/>
      <c r="P12" s="138"/>
      <c r="Q12" s="138"/>
      <c r="R12" s="141"/>
      <c r="S12" s="143"/>
    </row>
    <row r="13" spans="1:21" s="4" customFormat="1" ht="99.75" customHeight="1" thickBot="1" x14ac:dyDescent="0.3">
      <c r="A13" s="131"/>
      <c r="B13" s="133"/>
      <c r="C13" s="19" t="s">
        <v>61</v>
      </c>
      <c r="D13" s="112" t="s">
        <v>68</v>
      </c>
      <c r="E13" s="20" t="s">
        <v>77</v>
      </c>
      <c r="F13" s="33" t="s">
        <v>70</v>
      </c>
      <c r="G13" s="20" t="s">
        <v>64</v>
      </c>
      <c r="H13" s="34" t="s">
        <v>71</v>
      </c>
      <c r="I13" s="143"/>
      <c r="J13" s="19" t="s">
        <v>61</v>
      </c>
      <c r="K13" s="35" t="s">
        <v>72</v>
      </c>
      <c r="L13" s="36" t="s">
        <v>62</v>
      </c>
      <c r="M13" s="35" t="s">
        <v>70</v>
      </c>
      <c r="N13" s="37" t="s">
        <v>65</v>
      </c>
      <c r="O13" s="35" t="s">
        <v>71</v>
      </c>
      <c r="P13" s="38" t="s">
        <v>78</v>
      </c>
      <c r="Q13" s="39" t="s">
        <v>73</v>
      </c>
      <c r="R13" s="142"/>
      <c r="S13" s="144"/>
    </row>
    <row r="14" spans="1:21" s="5" customFormat="1" ht="16.5" customHeight="1" x14ac:dyDescent="0.25">
      <c r="A14" s="97">
        <v>1</v>
      </c>
      <c r="B14" s="87" t="s">
        <v>4</v>
      </c>
      <c r="C14" s="6">
        <f>[1]Енисей!C11*100/[1]Енисей!$C$93</f>
        <v>2.5903245560318435</v>
      </c>
      <c r="D14" s="113">
        <f>C14*D74/100</f>
        <v>0.390867023882425</v>
      </c>
      <c r="E14" s="7">
        <f>[1]Енисей!E11*100/[1]Енисей!$E$93</f>
        <v>1.4789691972588843</v>
      </c>
      <c r="F14" s="7">
        <f>E14*F74/100</f>
        <v>1.3057123927075978</v>
      </c>
      <c r="G14" s="7">
        <f>[1]Енисей!I11*100/[1]Енисей!$I$93</f>
        <v>1.6725128361547454</v>
      </c>
      <c r="H14" s="81">
        <f>G14*H74/100</f>
        <v>0.34725882263230134</v>
      </c>
      <c r="I14" s="76">
        <f>H14+F14+D14</f>
        <v>2.0438382392223242</v>
      </c>
      <c r="J14" s="62"/>
      <c r="K14" s="6"/>
      <c r="L14" s="7"/>
      <c r="M14" s="7"/>
      <c r="N14" s="7"/>
      <c r="O14" s="46"/>
      <c r="P14" s="17"/>
      <c r="Q14" s="55"/>
      <c r="R14" s="29">
        <v>0</v>
      </c>
      <c r="S14" s="69">
        <f t="shared" ref="S14:S18" si="0">I14</f>
        <v>2.0438382392223242</v>
      </c>
    </row>
    <row r="15" spans="1:21" s="5" customFormat="1" ht="16.5" customHeight="1" x14ac:dyDescent="0.25">
      <c r="A15" s="8">
        <v>2</v>
      </c>
      <c r="B15" s="88" t="s">
        <v>5</v>
      </c>
      <c r="C15" s="9">
        <f>0.105*100/19.886</f>
        <v>0.52800965503369202</v>
      </c>
      <c r="D15" s="114">
        <f>C15*D74/100</f>
        <v>7.9674016896308958E-2</v>
      </c>
      <c r="E15" s="10">
        <v>0.56799999999999995</v>
      </c>
      <c r="F15" s="10">
        <f>E15*F74/100</f>
        <v>0.50146050399999997</v>
      </c>
      <c r="G15" s="10">
        <v>0.71260000000000001</v>
      </c>
      <c r="H15" s="82">
        <f>G15*H74/100</f>
        <v>0.14795500019999999</v>
      </c>
      <c r="I15" s="77">
        <f>D15+F15+H15</f>
        <v>0.72908952109630887</v>
      </c>
      <c r="J15" s="63"/>
      <c r="K15" s="9"/>
      <c r="L15" s="10"/>
      <c r="M15" s="10"/>
      <c r="N15" s="10"/>
      <c r="O15" s="10"/>
      <c r="P15" s="11"/>
      <c r="Q15" s="56"/>
      <c r="R15" s="30">
        <v>0</v>
      </c>
      <c r="S15" s="30">
        <f t="shared" si="0"/>
        <v>0.72908952109630887</v>
      </c>
    </row>
    <row r="16" spans="1:21" s="5" customFormat="1" ht="15" x14ac:dyDescent="0.25">
      <c r="A16" s="8">
        <v>3</v>
      </c>
      <c r="B16" s="89" t="s">
        <v>6</v>
      </c>
      <c r="C16" s="9">
        <f>[1]Енисей!C14*100/[1]Енисей!$C$93</f>
        <v>1.3839559093692588</v>
      </c>
      <c r="D16" s="115">
        <f>C16*D74/100</f>
        <v>0.20883202694427433</v>
      </c>
      <c r="E16" s="10">
        <f>[1]Енисей!E14*100/[1]Енисей!$E$93</f>
        <v>1.308892712570741</v>
      </c>
      <c r="F16" s="10">
        <f>E16*F74/100</f>
        <v>1.1555598579712165</v>
      </c>
      <c r="G16" s="10">
        <f>[1]Енисей!I14*100/[1]Енисей!$I$93</f>
        <v>1.4691678104824359</v>
      </c>
      <c r="H16" s="82">
        <f>G16*H74/100</f>
        <v>0.30503890498703673</v>
      </c>
      <c r="I16" s="77">
        <f>D16+F16+H16</f>
        <v>1.6694307899025276</v>
      </c>
      <c r="J16" s="63"/>
      <c r="K16" s="9"/>
      <c r="L16" s="10"/>
      <c r="M16" s="10"/>
      <c r="N16" s="10"/>
      <c r="O16" s="10"/>
      <c r="P16" s="11"/>
      <c r="Q16" s="56"/>
      <c r="R16" s="30">
        <v>0</v>
      </c>
      <c r="S16" s="66">
        <f t="shared" si="0"/>
        <v>1.6694307899025276</v>
      </c>
    </row>
    <row r="17" spans="1:20" s="5" customFormat="1" ht="15" x14ac:dyDescent="0.25">
      <c r="A17" s="8">
        <v>4</v>
      </c>
      <c r="B17" s="89" t="s">
        <v>7</v>
      </c>
      <c r="C17" s="9">
        <f>0.089*100/19.886</f>
        <v>0.44755104093331993</v>
      </c>
      <c r="D17" s="115">
        <f>C17*D74/100</f>
        <v>6.7533214321633311E-2</v>
      </c>
      <c r="E17" s="10">
        <v>0.56799999999999995</v>
      </c>
      <c r="F17" s="10">
        <f>E17*F74/100</f>
        <v>0.50146050399999997</v>
      </c>
      <c r="G17" s="10">
        <v>0.71260000000000001</v>
      </c>
      <c r="H17" s="82">
        <f>G17*H74/100</f>
        <v>0.14795500019999999</v>
      </c>
      <c r="I17" s="77">
        <f>D17+F17+H17</f>
        <v>0.71694871852163322</v>
      </c>
      <c r="J17" s="63"/>
      <c r="K17" s="9"/>
      <c r="L17" s="10"/>
      <c r="M17" s="10"/>
      <c r="N17" s="11"/>
      <c r="O17" s="11"/>
      <c r="P17" s="11"/>
      <c r="Q17" s="56"/>
      <c r="R17" s="30">
        <v>0</v>
      </c>
      <c r="S17" s="66">
        <f t="shared" si="0"/>
        <v>0.71694871852163322</v>
      </c>
    </row>
    <row r="18" spans="1:20" s="5" customFormat="1" ht="15" x14ac:dyDescent="0.25">
      <c r="A18" s="8">
        <v>5</v>
      </c>
      <c r="B18" s="89" t="s">
        <v>8</v>
      </c>
      <c r="C18" s="9">
        <f>[1]Енисей!C17*100/[1]Енисей!$C$93</f>
        <v>0.93692590324556024</v>
      </c>
      <c r="D18" s="115">
        <f>C18*D74/100</f>
        <v>0.14137743417023882</v>
      </c>
      <c r="E18" s="10">
        <f>[1]Енисей!E17*100/[1]Енисей!$E$93</f>
        <v>0.86132301602299521</v>
      </c>
      <c r="F18" s="10">
        <f>E18*F74/100</f>
        <v>0.76042160866494934</v>
      </c>
      <c r="G18" s="10">
        <f>[1]Енисей!I17*100/[1]Енисей!$I$93</f>
        <v>0.86421635910731531</v>
      </c>
      <c r="H18" s="82">
        <f>G18*H74/100</f>
        <v>0.17943464999237457</v>
      </c>
      <c r="I18" s="77">
        <f>D18+F18+H18</f>
        <v>1.0812336928275628</v>
      </c>
      <c r="J18" s="63"/>
      <c r="K18" s="9"/>
      <c r="L18" s="10"/>
      <c r="M18" s="10"/>
      <c r="N18" s="11"/>
      <c r="O18" s="11"/>
      <c r="P18" s="11"/>
      <c r="Q18" s="56"/>
      <c r="R18" s="30">
        <v>0</v>
      </c>
      <c r="S18" s="66">
        <f t="shared" si="0"/>
        <v>1.0812336928275628</v>
      </c>
    </row>
    <row r="19" spans="1:20" s="5" customFormat="1" ht="15" x14ac:dyDescent="0.2">
      <c r="A19" s="8">
        <v>6</v>
      </c>
      <c r="B19" s="89" t="s">
        <v>9</v>
      </c>
      <c r="C19" s="9">
        <f>[1]Енисей!C20*100/[1]Енисей!$C$93</f>
        <v>0.87568891610532751</v>
      </c>
      <c r="D19" s="115">
        <f>C19*D74/100</f>
        <v>0.13213707899571339</v>
      </c>
      <c r="E19" s="10">
        <f>[1]Енисей!E20*100/[1]Енисей!$E$93</f>
        <v>0.68627353470654351</v>
      </c>
      <c r="F19" s="10">
        <f>E19*F74/100</f>
        <v>0.60587864893627608</v>
      </c>
      <c r="G19" s="10">
        <f>[1]Енисей!I20*100/[1]Енисей!$I$93</f>
        <v>0.84388185654008441</v>
      </c>
      <c r="H19" s="82">
        <f>G19*H74/100</f>
        <v>0.17521265822784809</v>
      </c>
      <c r="I19" s="77">
        <f t="shared" ref="I19:I23" si="1">D19+F19+H19</f>
        <v>0.91322838615983759</v>
      </c>
      <c r="J19" s="63"/>
      <c r="K19" s="9"/>
      <c r="L19" s="10"/>
      <c r="M19" s="10"/>
      <c r="N19" s="11"/>
      <c r="O19" s="11"/>
      <c r="P19" s="11"/>
      <c r="Q19" s="57"/>
      <c r="R19" s="30">
        <v>0</v>
      </c>
      <c r="S19" s="66">
        <f>I19+R19</f>
        <v>0.91322838615983759</v>
      </c>
    </row>
    <row r="20" spans="1:20" s="5" customFormat="1" ht="15" x14ac:dyDescent="0.25">
      <c r="A20" s="8">
        <v>7</v>
      </c>
      <c r="B20" s="89" t="s">
        <v>10</v>
      </c>
      <c r="C20" s="9">
        <f>[1]Енисей!C21*100/[1]Енисей!$C$93</f>
        <v>1.5003061849357013</v>
      </c>
      <c r="D20" s="115">
        <f>C20*D74/100</f>
        <v>0.22638870177587264</v>
      </c>
      <c r="E20" s="10">
        <f>[1]Енисей!E21*100/[1]Енисей!$E$93</f>
        <v>1.2691087395442746</v>
      </c>
      <c r="F20" s="10">
        <f>E20*F74/100</f>
        <v>1.1204364580328816</v>
      </c>
      <c r="G20" s="10">
        <f>[1]Енисей!I21*100/[1]Енисей!$I$93</f>
        <v>1.1285648924813179</v>
      </c>
      <c r="H20" s="82">
        <f>G20*H74/100</f>
        <v>0.2343205429312186</v>
      </c>
      <c r="I20" s="77">
        <f>D20+F20+H20</f>
        <v>1.5811457027399727</v>
      </c>
      <c r="J20" s="63">
        <f>2.765*100/204.389</f>
        <v>1.3528125290499977</v>
      </c>
      <c r="K20" s="9">
        <f>J20*K74/100</f>
        <v>2.7224811022119586</v>
      </c>
      <c r="L20" s="10">
        <f>1.17*100/138.388</f>
        <v>0.84544902737231553</v>
      </c>
      <c r="M20" s="10">
        <f>L20*M74/100</f>
        <v>1.1758369800849784</v>
      </c>
      <c r="N20" s="10">
        <f>0.672*100/77.385</f>
        <v>0.86838534599728623</v>
      </c>
      <c r="O20" s="10">
        <f>N20*O74/100</f>
        <v>0.83159272727272726</v>
      </c>
      <c r="P20" s="11"/>
      <c r="Q20" s="57"/>
      <c r="R20" s="67">
        <f>K20+M20+O20</f>
        <v>4.729910809569664</v>
      </c>
      <c r="S20" s="66">
        <f>I20+R20</f>
        <v>6.3110565123096372</v>
      </c>
    </row>
    <row r="21" spans="1:20" s="5" customFormat="1" ht="15" x14ac:dyDescent="0.2">
      <c r="A21" s="8">
        <v>8</v>
      </c>
      <c r="B21" s="89" t="s">
        <v>11</v>
      </c>
      <c r="C21" s="9">
        <f>0.152*100/19.886</f>
        <v>0.76435683395353515</v>
      </c>
      <c r="D21" s="115">
        <f>C21*D74/100</f>
        <v>0.11533762445941868</v>
      </c>
      <c r="E21" s="10">
        <v>0.56799999999999995</v>
      </c>
      <c r="F21" s="10">
        <f>E21*F74/100</f>
        <v>0.50146050399999997</v>
      </c>
      <c r="G21" s="10">
        <v>0.71260000000000001</v>
      </c>
      <c r="H21" s="82">
        <f>G21*H74/100</f>
        <v>0.14795500019999999</v>
      </c>
      <c r="I21" s="77">
        <f t="shared" si="1"/>
        <v>0.76475312865941858</v>
      </c>
      <c r="J21" s="63"/>
      <c r="K21" s="9"/>
      <c r="L21" s="10"/>
      <c r="M21" s="10"/>
      <c r="N21" s="11"/>
      <c r="O21" s="11"/>
      <c r="P21" s="11"/>
      <c r="Q21" s="57"/>
      <c r="R21" s="30">
        <v>0</v>
      </c>
      <c r="S21" s="66">
        <f>I21</f>
        <v>0.76475312865941858</v>
      </c>
    </row>
    <row r="22" spans="1:20" s="5" customFormat="1" ht="15" x14ac:dyDescent="0.2">
      <c r="A22" s="8">
        <v>9</v>
      </c>
      <c r="B22" s="89" t="s">
        <v>12</v>
      </c>
      <c r="C22" s="9">
        <f>0.084*100/19.886</f>
        <v>0.42240772402695365</v>
      </c>
      <c r="D22" s="115">
        <f>C22*D74/100</f>
        <v>6.3739213517047172E-2</v>
      </c>
      <c r="E22" s="10">
        <f>[1]Енисей!E26*100/[1]Енисей!$E$93</f>
        <v>1.2173895746098684</v>
      </c>
      <c r="F22" s="10">
        <f>E22*F74/100</f>
        <v>1.0747760381130462</v>
      </c>
      <c r="G22" s="10">
        <v>0.71260000000000001</v>
      </c>
      <c r="H22" s="82">
        <f>G22*H74/100</f>
        <v>0.14795500019999999</v>
      </c>
      <c r="I22" s="77">
        <f t="shared" si="1"/>
        <v>1.2864702518300934</v>
      </c>
      <c r="J22" s="63"/>
      <c r="K22" s="9"/>
      <c r="L22" s="10"/>
      <c r="M22" s="10"/>
      <c r="N22" s="11"/>
      <c r="O22" s="11"/>
      <c r="P22" s="11"/>
      <c r="Q22" s="57"/>
      <c r="R22" s="30">
        <v>0</v>
      </c>
      <c r="S22" s="66">
        <f>I22</f>
        <v>1.2864702518300934</v>
      </c>
    </row>
    <row r="23" spans="1:20" s="5" customFormat="1" ht="15.75" thickBot="1" x14ac:dyDescent="0.25">
      <c r="A23" s="8">
        <v>10</v>
      </c>
      <c r="B23" s="89" t="s">
        <v>13</v>
      </c>
      <c r="C23" s="9">
        <f>[1]Енисей!C27*100/[1]Енисей!$C$93</f>
        <v>0.91855480710349047</v>
      </c>
      <c r="D23" s="115">
        <f>C23*D74/100</f>
        <v>0.13860532761788119</v>
      </c>
      <c r="E23" s="10">
        <f>[1]Енисей!E27*100/[1]Енисей!$E$93</f>
        <v>0.7061655212197766</v>
      </c>
      <c r="F23" s="10">
        <f>E23*F74/100</f>
        <v>0.62344034890544353</v>
      </c>
      <c r="G23" s="10">
        <f>[1]Енисей!I27*100/[1]Енисей!$I$93</f>
        <v>0.74220934370392966</v>
      </c>
      <c r="H23" s="82">
        <f>G23*H74/100</f>
        <v>0.15410269940521581</v>
      </c>
      <c r="I23" s="77">
        <f t="shared" si="1"/>
        <v>0.91614837592854059</v>
      </c>
      <c r="J23" s="63"/>
      <c r="K23" s="9"/>
      <c r="L23" s="10"/>
      <c r="M23" s="10"/>
      <c r="N23" s="11"/>
      <c r="O23" s="11"/>
      <c r="P23" s="11"/>
      <c r="Q23" s="57"/>
      <c r="R23" s="30">
        <v>0</v>
      </c>
      <c r="S23" s="66">
        <f>I23</f>
        <v>0.91614837592854059</v>
      </c>
    </row>
    <row r="24" spans="1:20" s="5" customFormat="1" ht="15" x14ac:dyDescent="0.2">
      <c r="A24" s="97">
        <v>11</v>
      </c>
      <c r="B24" s="90" t="s">
        <v>14</v>
      </c>
      <c r="C24" s="9">
        <v>1.6319999999999999</v>
      </c>
      <c r="D24" s="115">
        <f>C24*D74/100</f>
        <v>0.24626063999999995</v>
      </c>
      <c r="E24" s="10">
        <v>1.2909999999999999</v>
      </c>
      <c r="F24" s="10">
        <f>E24*F74/100</f>
        <v>1.1397632230000001</v>
      </c>
      <c r="G24" s="10">
        <v>1.633</v>
      </c>
      <c r="H24" s="82">
        <f>G24*H74/100</f>
        <v>0.33905489099999997</v>
      </c>
      <c r="I24" s="77">
        <f>H24+F24+D24</f>
        <v>1.7250787540000001</v>
      </c>
      <c r="J24" s="63">
        <v>0.93700000000000006</v>
      </c>
      <c r="K24" s="9">
        <f>J24*K74/100</f>
        <v>1.8856750200000001</v>
      </c>
      <c r="L24" s="10">
        <v>2.2170000000000001</v>
      </c>
      <c r="M24" s="10">
        <f>L24*M74/100</f>
        <v>3.0833681279999996</v>
      </c>
      <c r="N24" s="10">
        <v>1.4630000000000001</v>
      </c>
      <c r="O24" s="10">
        <f>N24*O74/100</f>
        <v>1.4010141529999998</v>
      </c>
      <c r="P24" s="11"/>
      <c r="Q24" s="98"/>
      <c r="R24" s="30">
        <f>O24+M24+K24</f>
        <v>6.3700573009999992</v>
      </c>
      <c r="S24" s="30">
        <f>R24+I24</f>
        <v>8.0951360549999993</v>
      </c>
    </row>
    <row r="25" spans="1:20" s="5" customFormat="1" ht="15" x14ac:dyDescent="0.25">
      <c r="A25" s="8">
        <v>12</v>
      </c>
      <c r="B25" s="89" t="s">
        <v>15</v>
      </c>
      <c r="C25" s="9">
        <f>[1]Енисей!C29*100/[1]Енисей!$C$93</f>
        <v>1.4696876913655847</v>
      </c>
      <c r="D25" s="115">
        <f>C25*D74/100</f>
        <v>0.2217685241886099</v>
      </c>
      <c r="E25" s="10">
        <f>[1]Енисей!E29*100/[1]Енисей!$E$93</f>
        <v>1.1606974130471539</v>
      </c>
      <c r="F25" s="10">
        <f>E25*F74/100</f>
        <v>1.0247251932009191</v>
      </c>
      <c r="G25" s="10">
        <f>[1]Енисей!I29*100/[1]Енисей!$I$93</f>
        <v>1.0116415027197396</v>
      </c>
      <c r="H25" s="82">
        <f>G25*H74/100</f>
        <v>0.21004409028519139</v>
      </c>
      <c r="I25" s="77">
        <f>H25+F25+D25</f>
        <v>1.4565378076747204</v>
      </c>
      <c r="J25" s="63"/>
      <c r="K25" s="9"/>
      <c r="L25" s="10"/>
      <c r="M25" s="10"/>
      <c r="N25" s="10"/>
      <c r="O25" s="10"/>
      <c r="P25" s="11"/>
      <c r="Q25" s="99"/>
      <c r="R25" s="30">
        <v>0</v>
      </c>
      <c r="S25" s="30">
        <f>I25</f>
        <v>1.4565378076747204</v>
      </c>
      <c r="T25" s="100"/>
    </row>
    <row r="26" spans="1:20" s="5" customFormat="1" ht="15" x14ac:dyDescent="0.25">
      <c r="A26" s="8">
        <v>13</v>
      </c>
      <c r="B26" s="89" t="s">
        <v>16</v>
      </c>
      <c r="C26" s="9">
        <f>0.119*100/19.886</f>
        <v>0.5984109423715176</v>
      </c>
      <c r="D26" s="115">
        <f>C26*D74/100</f>
        <v>9.0297219149150149E-2</v>
      </c>
      <c r="E26" s="10">
        <v>0.56799999999999995</v>
      </c>
      <c r="F26" s="10">
        <f>E26*F74/100</f>
        <v>0.50146050399999997</v>
      </c>
      <c r="G26" s="10">
        <v>0.71260000000000001</v>
      </c>
      <c r="H26" s="82">
        <f>G26*H74/100</f>
        <v>0.14795500019999999</v>
      </c>
      <c r="I26" s="77">
        <f>H26+F26+D26</f>
        <v>0.73971272334915006</v>
      </c>
      <c r="J26" s="63">
        <f>1.758*100/204.389</f>
        <v>0.86012456639055923</v>
      </c>
      <c r="K26" s="9">
        <f>J26*K74/100</f>
        <v>1.7309662848783449</v>
      </c>
      <c r="L26" s="10">
        <f>1.02*100/138.388</f>
        <v>0.73705812642714685</v>
      </c>
      <c r="M26" s="10">
        <f>L26*M74/100</f>
        <v>1.0250886493048528</v>
      </c>
      <c r="N26" s="10">
        <f>0.761*100/77.385</f>
        <v>0.98339471473799822</v>
      </c>
      <c r="O26" s="10">
        <f>N26*O74/100</f>
        <v>0.94172926406926394</v>
      </c>
      <c r="P26" s="10">
        <f>0.956*100/8.27</f>
        <v>11.559854897218862</v>
      </c>
      <c r="Q26" s="101">
        <f>P26*Q74/100</f>
        <v>0.95391922611850066</v>
      </c>
      <c r="R26" s="30">
        <f>K26+M26+O26+Q26</f>
        <v>4.6517034243709618</v>
      </c>
      <c r="S26" s="30">
        <f>R26+I26</f>
        <v>5.3914161477201121</v>
      </c>
      <c r="T26" s="100"/>
    </row>
    <row r="27" spans="1:20" s="5" customFormat="1" ht="15" x14ac:dyDescent="0.25">
      <c r="A27" s="8">
        <v>14</v>
      </c>
      <c r="B27" s="89" t="s">
        <v>17</v>
      </c>
      <c r="C27" s="9">
        <f>[1]Енисей!C34*100/[1]Енисей!$C$93</f>
        <v>0.83282302510716466</v>
      </c>
      <c r="D27" s="115">
        <f>C27*D74/100</f>
        <v>0.12566883037354562</v>
      </c>
      <c r="E27" s="10">
        <v>0.56799999999999995</v>
      </c>
      <c r="F27" s="10">
        <f>E27*F74/100</f>
        <v>0.50146050399999997</v>
      </c>
      <c r="G27" s="10">
        <f>[1]Енисей!I34*100/[1]Енисей!$I$93</f>
        <v>0.7269584667785064</v>
      </c>
      <c r="H27" s="82">
        <f>G27*H74/100</f>
        <v>0.15093620558182094</v>
      </c>
      <c r="I27" s="77">
        <f>H27+F27+D27</f>
        <v>0.77806553995536654</v>
      </c>
      <c r="J27" s="63"/>
      <c r="K27" s="9"/>
      <c r="L27" s="10"/>
      <c r="M27" s="10"/>
      <c r="N27" s="11"/>
      <c r="O27" s="11"/>
      <c r="P27" s="11"/>
      <c r="Q27" s="99"/>
      <c r="R27" s="30">
        <v>0</v>
      </c>
      <c r="S27" s="30">
        <f t="shared" ref="S27:S35" si="2">I27</f>
        <v>0.77806553995536654</v>
      </c>
      <c r="T27" s="100"/>
    </row>
    <row r="28" spans="1:20" s="5" customFormat="1" ht="15" x14ac:dyDescent="0.25">
      <c r="A28" s="8">
        <v>15</v>
      </c>
      <c r="B28" s="89" t="s">
        <v>18</v>
      </c>
      <c r="C28" s="12"/>
      <c r="D28" s="115"/>
      <c r="E28" s="10">
        <v>0.56799999999999995</v>
      </c>
      <c r="F28" s="10">
        <f>E28*F74/100</f>
        <v>0.50146050399999997</v>
      </c>
      <c r="G28" s="10">
        <v>0.71260000000000001</v>
      </c>
      <c r="H28" s="82">
        <f>G28*H74/100</f>
        <v>0.14795500019999999</v>
      </c>
      <c r="I28" s="77">
        <f>H28+F28</f>
        <v>0.64941550419999994</v>
      </c>
      <c r="J28" s="63"/>
      <c r="K28" s="9"/>
      <c r="L28" s="10"/>
      <c r="M28" s="10"/>
      <c r="N28" s="11"/>
      <c r="O28" s="11"/>
      <c r="P28" s="11"/>
      <c r="Q28" s="71"/>
      <c r="R28" s="30">
        <v>0</v>
      </c>
      <c r="S28" s="30">
        <f t="shared" si="2"/>
        <v>0.64941550419999994</v>
      </c>
      <c r="T28" s="100"/>
    </row>
    <row r="29" spans="1:20" s="5" customFormat="1" ht="15" x14ac:dyDescent="0.25">
      <c r="A29" s="8">
        <v>16</v>
      </c>
      <c r="B29" s="89" t="s">
        <v>19</v>
      </c>
      <c r="C29" s="9">
        <f>[1]Енисей!C37*100/[1]Енисей!$C$93</f>
        <v>1.7452541334966318</v>
      </c>
      <c r="D29" s="115">
        <f>C29*D74/100</f>
        <v>0.26335012247397427</v>
      </c>
      <c r="E29" s="10">
        <f>[1]Енисей!E37*100/[1]Енисей!$E$93</f>
        <v>1.7773489949573815</v>
      </c>
      <c r="F29" s="10">
        <f>E29*F74/100</f>
        <v>1.5691378922451094</v>
      </c>
      <c r="G29" s="10">
        <v>2.2469999999999999</v>
      </c>
      <c r="H29" s="82">
        <f>G29*H74/100</f>
        <v>0.46653786899999994</v>
      </c>
      <c r="I29" s="77">
        <f>H29+F29+D29</f>
        <v>2.2990258837190831</v>
      </c>
      <c r="J29" s="63"/>
      <c r="K29" s="9"/>
      <c r="L29" s="10"/>
      <c r="M29" s="10"/>
      <c r="N29" s="10">
        <v>0.36</v>
      </c>
      <c r="O29" s="10">
        <f>N29*O74/100</f>
        <v>0.34474715999999994</v>
      </c>
      <c r="P29" s="11"/>
      <c r="Q29" s="71"/>
      <c r="R29" s="30">
        <v>0</v>
      </c>
      <c r="S29" s="30">
        <f t="shared" si="2"/>
        <v>2.2990258837190831</v>
      </c>
      <c r="T29" s="100"/>
    </row>
    <row r="30" spans="1:20" s="5" customFormat="1" ht="15" x14ac:dyDescent="0.25">
      <c r="A30" s="8">
        <v>17</v>
      </c>
      <c r="B30" s="91" t="s">
        <v>20</v>
      </c>
      <c r="C30" s="9">
        <f>[1]Енисей!C38*100/[1]Енисей!$C$93</f>
        <v>1.3533374157991427</v>
      </c>
      <c r="D30" s="115">
        <f>C30*D74/100</f>
        <v>0.20421184935701164</v>
      </c>
      <c r="E30" s="10">
        <f>[1]Енисей!E38*100/[1]Енисей!$E$93</f>
        <v>1.0642212784579732</v>
      </c>
      <c r="F30" s="10">
        <f>E30*F74/100</f>
        <v>0.93955094835045716</v>
      </c>
      <c r="G30" s="10">
        <f>[1]Енисей!I38*100/[1]Енисей!$I$93</f>
        <v>0.96588887194347006</v>
      </c>
      <c r="H30" s="82">
        <f>G30*H74/100</f>
        <v>0.20054460881500685</v>
      </c>
      <c r="I30" s="77">
        <f>H30+F30+D30</f>
        <v>1.3443074065224758</v>
      </c>
      <c r="J30" s="63"/>
      <c r="K30" s="9"/>
      <c r="L30" s="10"/>
      <c r="M30" s="10"/>
      <c r="N30" s="10"/>
      <c r="O30" s="10"/>
      <c r="P30" s="11"/>
      <c r="Q30" s="71"/>
      <c r="R30" s="30">
        <v>0</v>
      </c>
      <c r="S30" s="30">
        <f t="shared" si="2"/>
        <v>1.3443074065224758</v>
      </c>
      <c r="T30" s="100"/>
    </row>
    <row r="31" spans="1:20" s="5" customFormat="1" ht="15" x14ac:dyDescent="0.25">
      <c r="A31" s="8">
        <v>18</v>
      </c>
      <c r="B31" s="89" t="s">
        <v>21</v>
      </c>
      <c r="C31" s="9">
        <f>[1]Енисей!C39*100/[1]Енисей!$C$93</f>
        <v>0.75321494182486215</v>
      </c>
      <c r="D31" s="115">
        <f>C31*D74/100</f>
        <v>0.11365636864666256</v>
      </c>
      <c r="E31" s="10">
        <v>0.56799999999999995</v>
      </c>
      <c r="F31" s="10">
        <f>E31*F74/100</f>
        <v>0.50146050399999997</v>
      </c>
      <c r="G31" s="10">
        <f>[1]Енисей!I39*100/[1]Енисей!$I$93</f>
        <v>1.8707742361852473</v>
      </c>
      <c r="H31" s="82">
        <f>G31*H74/100</f>
        <v>0.38842324233643433</v>
      </c>
      <c r="I31" s="77">
        <f>H31+F31+D31</f>
        <v>1.0035401149830969</v>
      </c>
      <c r="J31" s="63"/>
      <c r="K31" s="9"/>
      <c r="L31" s="10"/>
      <c r="M31" s="10"/>
      <c r="N31" s="11"/>
      <c r="O31" s="11"/>
      <c r="P31" s="11"/>
      <c r="Q31" s="71"/>
      <c r="R31" s="30">
        <v>0</v>
      </c>
      <c r="S31" s="30">
        <f t="shared" si="2"/>
        <v>1.0035401149830969</v>
      </c>
      <c r="T31" s="100"/>
    </row>
    <row r="32" spans="1:20" s="5" customFormat="1" ht="15" x14ac:dyDescent="0.25">
      <c r="A32" s="8">
        <v>19</v>
      </c>
      <c r="B32" s="89" t="s">
        <v>22</v>
      </c>
      <c r="C32" s="12"/>
      <c r="D32" s="115"/>
      <c r="E32" s="11"/>
      <c r="F32" s="11"/>
      <c r="G32" s="10">
        <v>2.7530000000000001</v>
      </c>
      <c r="H32" s="82">
        <f>G32*H74/100</f>
        <v>0.57159713099999998</v>
      </c>
      <c r="I32" s="77">
        <f>H32</f>
        <v>0.57159713099999998</v>
      </c>
      <c r="J32" s="63"/>
      <c r="K32" s="9"/>
      <c r="L32" s="10"/>
      <c r="M32" s="10"/>
      <c r="N32" s="11"/>
      <c r="O32" s="11"/>
      <c r="P32" s="11"/>
      <c r="Q32" s="71"/>
      <c r="R32" s="30">
        <v>0</v>
      </c>
      <c r="S32" s="30">
        <f t="shared" si="2"/>
        <v>0.57159713099999998</v>
      </c>
      <c r="T32" s="100"/>
    </row>
    <row r="33" spans="1:20" s="5" customFormat="1" ht="15.75" thickBot="1" x14ac:dyDescent="0.3">
      <c r="A33" s="8">
        <v>20</v>
      </c>
      <c r="B33" s="89" t="s">
        <v>80</v>
      </c>
      <c r="C33" s="12"/>
      <c r="D33" s="115"/>
      <c r="E33" s="10">
        <v>0.44800000000000001</v>
      </c>
      <c r="F33" s="10">
        <f>E33*F74/100</f>
        <v>0.39551814400000007</v>
      </c>
      <c r="G33" s="10">
        <v>1.24</v>
      </c>
      <c r="H33" s="82">
        <f>G33*H74/100</f>
        <v>0.25745748000000002</v>
      </c>
      <c r="I33" s="77">
        <f>H33+F33</f>
        <v>0.65297562400000009</v>
      </c>
      <c r="J33" s="63"/>
      <c r="K33" s="9"/>
      <c r="L33" s="10">
        <v>0.34799999999999998</v>
      </c>
      <c r="M33" s="10">
        <f>L33*M74/100</f>
        <v>0.48399283199999993</v>
      </c>
      <c r="N33" s="10">
        <v>0.77900000000000003</v>
      </c>
      <c r="O33" s="10">
        <f>N33*O74/100</f>
        <v>0.74599454899999995</v>
      </c>
      <c r="P33" s="10">
        <v>0.8</v>
      </c>
      <c r="Q33" s="82">
        <f>P33*Q74/100</f>
        <v>6.6016000000000019E-2</v>
      </c>
      <c r="R33" s="30">
        <f>Q33+O33+M33</f>
        <v>1.296003381</v>
      </c>
      <c r="S33" s="30">
        <f>R33+I33</f>
        <v>1.948979005</v>
      </c>
      <c r="T33" s="100"/>
    </row>
    <row r="34" spans="1:20" s="5" customFormat="1" ht="15" x14ac:dyDescent="0.25">
      <c r="A34" s="97">
        <v>21</v>
      </c>
      <c r="B34" s="89" t="s">
        <v>23</v>
      </c>
      <c r="C34" s="9">
        <f>0.084*100/19.886</f>
        <v>0.42240772402695365</v>
      </c>
      <c r="D34" s="115">
        <f>C34*D74/100</f>
        <v>6.3739213517047172E-2</v>
      </c>
      <c r="E34" s="10">
        <v>0.56799999999999995</v>
      </c>
      <c r="F34" s="10">
        <f>E34*F74/100</f>
        <v>0.50146050399999997</v>
      </c>
      <c r="G34" s="10">
        <v>0.71260000000000001</v>
      </c>
      <c r="H34" s="82">
        <f>G34*H74/100</f>
        <v>0.14795500019999999</v>
      </c>
      <c r="I34" s="77">
        <f>D34+F34+H34</f>
        <v>0.71315471771704708</v>
      </c>
      <c r="J34" s="63"/>
      <c r="K34" s="9"/>
      <c r="L34" s="10"/>
      <c r="M34" s="10"/>
      <c r="N34" s="10"/>
      <c r="O34" s="10"/>
      <c r="P34" s="11"/>
      <c r="Q34" s="71"/>
      <c r="R34" s="30">
        <v>0</v>
      </c>
      <c r="S34" s="30">
        <f t="shared" si="2"/>
        <v>0.71315471771704708</v>
      </c>
      <c r="T34" s="100"/>
    </row>
    <row r="35" spans="1:20" s="5" customFormat="1" ht="15" x14ac:dyDescent="0.25">
      <c r="A35" s="8">
        <v>22</v>
      </c>
      <c r="B35" s="89" t="s">
        <v>24</v>
      </c>
      <c r="C35" s="9">
        <f>0.138*100/19.886</f>
        <v>0.69395554661570957</v>
      </c>
      <c r="D35" s="115">
        <f>C35*D74/100</f>
        <v>0.10471442220657749</v>
      </c>
      <c r="E35" s="10">
        <v>0.56799999999999995</v>
      </c>
      <c r="F35" s="10">
        <f>E35*F74/100</f>
        <v>0.50146050399999997</v>
      </c>
      <c r="G35" s="10">
        <v>0.71260000000000001</v>
      </c>
      <c r="H35" s="82">
        <f>G35*H74/100</f>
        <v>0.14795500019999999</v>
      </c>
      <c r="I35" s="77">
        <f>D35+F35+H35</f>
        <v>0.75412992640657739</v>
      </c>
      <c r="J35" s="63"/>
      <c r="K35" s="9"/>
      <c r="L35" s="10"/>
      <c r="M35" s="10"/>
      <c r="N35" s="10"/>
      <c r="O35" s="10"/>
      <c r="P35" s="11"/>
      <c r="Q35" s="71"/>
      <c r="R35" s="30">
        <v>0</v>
      </c>
      <c r="S35" s="30">
        <f t="shared" si="2"/>
        <v>0.75412992640657739</v>
      </c>
      <c r="T35" s="100"/>
    </row>
    <row r="36" spans="1:20" s="5" customFormat="1" ht="15" x14ac:dyDescent="0.25">
      <c r="A36" s="8">
        <v>23</v>
      </c>
      <c r="B36" s="89" t="s">
        <v>25</v>
      </c>
      <c r="C36" s="9">
        <f>[1]Енисей!C45*100/[1]Енисей!$C$93</f>
        <v>4.4090630740967542</v>
      </c>
      <c r="D36" s="115">
        <f>C36*D74/100</f>
        <v>0.66530557256582967</v>
      </c>
      <c r="E36" s="10">
        <f>[1]Енисей!E45*100/[1]Енисей!$E$93</f>
        <v>2.6655261927732417</v>
      </c>
      <c r="F36" s="10">
        <f>E36*F74/100</f>
        <v>2.3532677958684349</v>
      </c>
      <c r="G36" s="10">
        <f>[1]Енисей!I45*100/[1]Енисей!$I$93</f>
        <v>3.4060291800111839</v>
      </c>
      <c r="H36" s="82">
        <f>G36*H74/100</f>
        <v>0.70718362055818207</v>
      </c>
      <c r="I36" s="77">
        <f>D36+F36+H36</f>
        <v>3.7257569889924467</v>
      </c>
      <c r="J36" s="63">
        <f>3.37*100/204.389</f>
        <v>1.6488167171423118</v>
      </c>
      <c r="K36" s="9">
        <f>J36*K74/100</f>
        <v>3.3181776905802174</v>
      </c>
      <c r="L36" s="10">
        <f>1.39*100/138.388</f>
        <v>1.0044223487585628</v>
      </c>
      <c r="M36" s="10">
        <f>L36*M74/100</f>
        <v>1.3969345318958291</v>
      </c>
      <c r="N36" s="10">
        <f>0.643*100/77.385</f>
        <v>0.83091038314918908</v>
      </c>
      <c r="O36" s="10">
        <f>N36*O74/100</f>
        <v>0.79570554112554104</v>
      </c>
      <c r="P36" s="11"/>
      <c r="Q36" s="71"/>
      <c r="R36" s="30">
        <f>O36+M36+K36</f>
        <v>5.5108177636015876</v>
      </c>
      <c r="S36" s="30">
        <f>R36+I36</f>
        <v>9.2365747525940343</v>
      </c>
      <c r="T36" s="100"/>
    </row>
    <row r="37" spans="1:20" s="5" customFormat="1" ht="15" x14ac:dyDescent="0.25">
      <c r="A37" s="8">
        <v>24</v>
      </c>
      <c r="B37" s="91" t="s">
        <v>26</v>
      </c>
      <c r="C37" s="9">
        <f>[1]Енисей!C47*100/[1]Енисей!$C$93</f>
        <v>10.244947948560931</v>
      </c>
      <c r="D37" s="115">
        <f>C37*D74/100</f>
        <v>1.5459114206981015</v>
      </c>
      <c r="E37" s="10">
        <f>[1]Енисей!E47*100/[1]Енисей!$E$93</f>
        <v>13.535502222929493</v>
      </c>
      <c r="F37" s="10">
        <f>E37*F74/100</f>
        <v>11.949858744019973</v>
      </c>
      <c r="G37" s="10">
        <f>[1]Енисей!I47*100/[1]Енисей!$I$93</f>
        <v>9.623303339942046</v>
      </c>
      <c r="H37" s="82">
        <f>G37*H74/100</f>
        <v>1.998057602562147</v>
      </c>
      <c r="I37" s="77">
        <f>D37+F37+H37</f>
        <v>15.493827767280221</v>
      </c>
      <c r="J37" s="63">
        <f>52.524*100/204.389</f>
        <v>25.698056157621004</v>
      </c>
      <c r="K37" s="9">
        <f>J37*K74/100</f>
        <v>51.716310094965962</v>
      </c>
      <c r="L37" s="10">
        <f>17.951*100/138.388</f>
        <v>12.971500419111484</v>
      </c>
      <c r="M37" s="10">
        <f>L37*M74/100</f>
        <v>18.040555238893543</v>
      </c>
      <c r="N37" s="10">
        <f>12.067*100/77.385</f>
        <v>15.593461265103056</v>
      </c>
      <c r="O37" s="10">
        <f>N37*O74/100</f>
        <v>14.932781904761903</v>
      </c>
      <c r="P37" s="10">
        <f>2.014*100/8.27</f>
        <v>24.353083434099151</v>
      </c>
      <c r="Q37" s="82">
        <f>P37*Q74/100</f>
        <v>2.0096164449818623</v>
      </c>
      <c r="R37" s="30">
        <f>Q37+O37+M37+K37</f>
        <v>86.699263683603277</v>
      </c>
      <c r="S37" s="30">
        <f>I37+R37</f>
        <v>102.1930914508835</v>
      </c>
      <c r="T37" s="100"/>
    </row>
    <row r="38" spans="1:20" s="5" customFormat="1" ht="15" x14ac:dyDescent="0.25">
      <c r="A38" s="8">
        <v>25</v>
      </c>
      <c r="B38" s="90" t="s">
        <v>27</v>
      </c>
      <c r="C38" s="9">
        <f>[1]Енисей!C49*100/[1]Енисей!$C$93</f>
        <v>4.8989589712186161</v>
      </c>
      <c r="D38" s="115">
        <f>C38*D74/100</f>
        <v>0.73922841396203309</v>
      </c>
      <c r="E38" s="10">
        <f>[1]Енисей!E49*100/[1]Енисей!$E$93</f>
        <v>2.2378484827387286</v>
      </c>
      <c r="F38" s="10">
        <f>E38*F74/100</f>
        <v>1.9756912465313348</v>
      </c>
      <c r="G38" s="10">
        <v>1.577</v>
      </c>
      <c r="H38" s="82">
        <f>G38*H74/100</f>
        <v>0.32742777899999997</v>
      </c>
      <c r="I38" s="77">
        <f>H38+F38+D38</f>
        <v>3.0423474394933683</v>
      </c>
      <c r="J38" s="63">
        <v>4.4619999999999997</v>
      </c>
      <c r="K38" s="9">
        <f>J38*K74/100</f>
        <v>8.9795965199999994</v>
      </c>
      <c r="L38" s="10">
        <v>1.756</v>
      </c>
      <c r="M38" s="10">
        <f>L38*M74/100</f>
        <v>2.4422167039999998</v>
      </c>
      <c r="N38" s="10">
        <v>2.97</v>
      </c>
      <c r="O38" s="10">
        <f>N38*O74/100</f>
        <v>2.8441640699999997</v>
      </c>
      <c r="P38" s="11"/>
      <c r="Q38" s="71"/>
      <c r="R38" s="30">
        <f>O38+M38+K38</f>
        <v>14.265977293999999</v>
      </c>
      <c r="S38" s="30">
        <f>R38+I38</f>
        <v>17.308324733493368</v>
      </c>
      <c r="T38" s="100"/>
    </row>
    <row r="39" spans="1:20" s="5" customFormat="1" ht="15" x14ac:dyDescent="0.25">
      <c r="A39" s="8">
        <v>26</v>
      </c>
      <c r="B39" s="89" t="s">
        <v>28</v>
      </c>
      <c r="C39" s="9">
        <v>8.0220000000000002</v>
      </c>
      <c r="D39" s="115">
        <f>C39*D74/100</f>
        <v>1.2104796899999999</v>
      </c>
      <c r="E39" s="10">
        <v>9.6769999999999996</v>
      </c>
      <c r="F39" s="10">
        <f>E39*F74/100</f>
        <v>8.5433684809999999</v>
      </c>
      <c r="G39" s="10">
        <f>[1]Енисей!I50*100/[1]Енисей!$I$93</f>
        <v>9.0488536424177717</v>
      </c>
      <c r="H39" s="82">
        <f>G39*H74/100</f>
        <v>1.8787863352142744</v>
      </c>
      <c r="I39" s="77">
        <f t="shared" ref="I39:I49" si="3">H39+F39+D39</f>
        <v>11.632634506214274</v>
      </c>
      <c r="J39" s="63">
        <v>32.152000000000001</v>
      </c>
      <c r="K39" s="9">
        <f>J39*K74/100</f>
        <v>64.70461392</v>
      </c>
      <c r="L39" s="10">
        <v>15.891999999999999</v>
      </c>
      <c r="M39" s="10">
        <f>L39*M74/100</f>
        <v>22.102339327999999</v>
      </c>
      <c r="N39" s="10">
        <v>17.632999999999999</v>
      </c>
      <c r="O39" s="10">
        <f>N39*O74/100</f>
        <v>16.885907422999999</v>
      </c>
      <c r="P39" s="10">
        <f>2.038*100/8.27</f>
        <v>24.64328899637243</v>
      </c>
      <c r="Q39" s="82">
        <f>P39*Q74/100</f>
        <v>2.0335642079806528</v>
      </c>
      <c r="R39" s="30">
        <f>K39+M39+O39+Q39</f>
        <v>105.72642487898065</v>
      </c>
      <c r="S39" s="30">
        <f>R39+I39</f>
        <v>117.35905938519493</v>
      </c>
      <c r="T39" s="100"/>
    </row>
    <row r="40" spans="1:20" s="5" customFormat="1" ht="15" x14ac:dyDescent="0.25">
      <c r="A40" s="8">
        <v>27</v>
      </c>
      <c r="B40" s="89" t="s">
        <v>29</v>
      </c>
      <c r="C40" s="9">
        <v>0.96799999999999997</v>
      </c>
      <c r="D40" s="115">
        <f>C40*D74/100</f>
        <v>0.14606635999999998</v>
      </c>
      <c r="E40" s="10">
        <f>[1]Енисей!E51*100/[1]Енисей!$E$93</f>
        <v>0.65643555493669381</v>
      </c>
      <c r="F40" s="10">
        <f>E40*F74/100</f>
        <v>0.57953609898252501</v>
      </c>
      <c r="G40" s="10">
        <f>[1]Енисей!I51*100/[1]Енисей!$I$93</f>
        <v>0.81846372833104564</v>
      </c>
      <c r="H40" s="82">
        <f>G40*H74/100</f>
        <v>0.16993516852218998</v>
      </c>
      <c r="I40" s="77">
        <f t="shared" si="3"/>
        <v>0.89553762750471499</v>
      </c>
      <c r="J40" s="63"/>
      <c r="K40" s="9"/>
      <c r="L40" s="10"/>
      <c r="M40" s="10"/>
      <c r="N40" s="10"/>
      <c r="O40" s="10"/>
      <c r="P40" s="11"/>
      <c r="Q40" s="56"/>
      <c r="R40" s="30">
        <v>0</v>
      </c>
      <c r="S40" s="66">
        <f>I40</f>
        <v>0.89553762750471499</v>
      </c>
    </row>
    <row r="41" spans="1:20" s="5" customFormat="1" ht="15" x14ac:dyDescent="0.25">
      <c r="A41" s="8">
        <v>28</v>
      </c>
      <c r="B41" s="89" t="s">
        <v>30</v>
      </c>
      <c r="C41" s="9">
        <f>[1]Енисей!C52*100/[1]Енисей!$C$93</f>
        <v>2.1494182486221676</v>
      </c>
      <c r="D41" s="115">
        <f>C41*D74/100</f>
        <v>0.32433646662584192</v>
      </c>
      <c r="E41" s="10">
        <f>[1]Енисей!E52*100/[1]Енисей!$E$93</f>
        <v>1.4720070019792528</v>
      </c>
      <c r="F41" s="10">
        <f>E41*F74/100</f>
        <v>1.2995657977183894</v>
      </c>
      <c r="G41" s="10">
        <f>[1]Енисей!I52*100/[1]Енисей!$I$93</f>
        <v>1.7945198515581311</v>
      </c>
      <c r="H41" s="82">
        <f>G41*H74/100</f>
        <v>0.3725907732194601</v>
      </c>
      <c r="I41" s="77">
        <f t="shared" si="3"/>
        <v>1.9964930375636916</v>
      </c>
      <c r="J41" s="63"/>
      <c r="K41" s="9"/>
      <c r="L41" s="10"/>
      <c r="M41" s="10"/>
      <c r="N41" s="11"/>
      <c r="O41" s="11"/>
      <c r="P41" s="11"/>
      <c r="Q41" s="56"/>
      <c r="R41" s="30">
        <v>0</v>
      </c>
      <c r="S41" s="66">
        <f>I41</f>
        <v>1.9964930375636916</v>
      </c>
    </row>
    <row r="42" spans="1:20" s="5" customFormat="1" ht="15.75" thickBot="1" x14ac:dyDescent="0.3">
      <c r="A42" s="8">
        <v>29</v>
      </c>
      <c r="B42" s="91" t="s">
        <v>31</v>
      </c>
      <c r="C42" s="13">
        <f>[1]Енисей!C53*100/[1]Енисей!$C$93</f>
        <v>14.390691977954683</v>
      </c>
      <c r="D42" s="116">
        <f>C42*D74/100</f>
        <v>2.1714834660134716</v>
      </c>
      <c r="E42" s="14">
        <f>[1]Енисей!E53*100/[1]Енисей!$E$93</f>
        <v>14.570880120943279</v>
      </c>
      <c r="F42" s="14">
        <f>E42*F74/100</f>
        <v>12.863945227415138</v>
      </c>
      <c r="G42" s="14">
        <f>[1]Енисей!I53*100/[1]Енисей!$I$93</f>
        <v>8.3879823089827656</v>
      </c>
      <c r="H42" s="84">
        <f>G42*H74/100</f>
        <v>1.7415716028671644</v>
      </c>
      <c r="I42" s="78">
        <f t="shared" si="3"/>
        <v>16.777000296295775</v>
      </c>
      <c r="J42" s="64">
        <f>16.467*100/204.389</f>
        <v>8.056695810439896</v>
      </c>
      <c r="K42" s="13">
        <f>J42*K74/100</f>
        <v>16.213778050677874</v>
      </c>
      <c r="L42" s="14">
        <f>23.04*100/138.388</f>
        <v>16.648842385177904</v>
      </c>
      <c r="M42" s="14">
        <f>L42*M74/100</f>
        <v>23.154943607827263</v>
      </c>
      <c r="N42" s="14">
        <f>13.845*100/77.385</f>
        <v>17.891064159720877</v>
      </c>
      <c r="O42" s="14">
        <f>N42*O74/100</f>
        <v>17.133037662337664</v>
      </c>
      <c r="P42" s="14">
        <f>1.1169*100/8.27</f>
        <v>13.505441354292625</v>
      </c>
      <c r="Q42" s="59">
        <f>P42*Q74/100</f>
        <v>1.1144690205562275</v>
      </c>
      <c r="R42" s="68">
        <f>K42+M42+O42+Q42</f>
        <v>57.616228341399029</v>
      </c>
      <c r="S42" s="68">
        <f>I42+R42</f>
        <v>74.393228637694804</v>
      </c>
    </row>
    <row r="43" spans="1:20" s="5" customFormat="1" ht="15.75" thickBot="1" x14ac:dyDescent="0.3">
      <c r="A43" s="8">
        <v>30</v>
      </c>
      <c r="B43" s="92" t="s">
        <v>32</v>
      </c>
      <c r="C43" s="6">
        <f>[1]Енисей!C54*100/[1]Енисей!$C$93</f>
        <v>0.72259644825474578</v>
      </c>
      <c r="D43" s="114">
        <f>C43*D74/100</f>
        <v>0.10903619105939986</v>
      </c>
      <c r="E43" s="10">
        <v>0.56799999999999995</v>
      </c>
      <c r="F43" s="18">
        <f>E43*F74/100</f>
        <v>0.50146050399999997</v>
      </c>
      <c r="G43" s="10">
        <v>0.71260000000000001</v>
      </c>
      <c r="H43" s="82">
        <f>G43*H74/100</f>
        <v>0.14795500019999999</v>
      </c>
      <c r="I43" s="79">
        <f t="shared" si="3"/>
        <v>0.75845169525939982</v>
      </c>
      <c r="J43" s="43"/>
      <c r="K43" s="48"/>
      <c r="L43" s="18"/>
      <c r="M43" s="18"/>
      <c r="N43" s="49"/>
      <c r="O43" s="49"/>
      <c r="P43" s="49"/>
      <c r="Q43" s="60"/>
      <c r="R43" s="30">
        <v>0</v>
      </c>
      <c r="S43" s="51">
        <f t="shared" ref="S43:S52" si="4">I43</f>
        <v>0.75845169525939982</v>
      </c>
    </row>
    <row r="44" spans="1:20" s="5" customFormat="1" ht="15" x14ac:dyDescent="0.25">
      <c r="A44" s="97">
        <v>31</v>
      </c>
      <c r="B44" s="90" t="s">
        <v>33</v>
      </c>
      <c r="C44" s="9">
        <f>[1]Енисей!C55*100/[1]Енисей!$C$93</f>
        <v>1.0349050826699326</v>
      </c>
      <c r="D44" s="115">
        <f>C44*D74/100</f>
        <v>0.15616200244947948</v>
      </c>
      <c r="E44" s="10">
        <f>[1]Енисей!E55*100/[1]Енисей!$E$93</f>
        <v>0.65643555493669381</v>
      </c>
      <c r="F44" s="10">
        <f>E44*F74/100</f>
        <v>0.57953609898252501</v>
      </c>
      <c r="G44" s="10">
        <f>[1]Енисей!I55*100/[1]Енисей!$I$93</f>
        <v>1.4335824309897818</v>
      </c>
      <c r="H44" s="82">
        <f>G44*H74/100</f>
        <v>0.29765041939911541</v>
      </c>
      <c r="I44" s="77">
        <f t="shared" si="3"/>
        <v>1.0333485208311199</v>
      </c>
      <c r="J44" s="44"/>
      <c r="K44" s="9"/>
      <c r="L44" s="10"/>
      <c r="M44" s="10"/>
      <c r="N44" s="11"/>
      <c r="O44" s="11"/>
      <c r="P44" s="11"/>
      <c r="Q44" s="56"/>
      <c r="R44" s="30">
        <v>0</v>
      </c>
      <c r="S44" s="52">
        <f t="shared" si="4"/>
        <v>1.0333485208311199</v>
      </c>
    </row>
    <row r="45" spans="1:20" s="5" customFormat="1" ht="15" x14ac:dyDescent="0.25">
      <c r="A45" s="8">
        <v>32</v>
      </c>
      <c r="B45" s="90" t="s">
        <v>34</v>
      </c>
      <c r="C45" s="9">
        <f>[1]Енисей!C57*100/[1]Енисей!$C$93</f>
        <v>1.2982241273729331</v>
      </c>
      <c r="D45" s="115">
        <f>C45*D74/100</f>
        <v>0.19589552969993876</v>
      </c>
      <c r="E45" s="10">
        <f>[1]Енисей!E57*100/[1]Енисей!$E$93</f>
        <v>0.97470733914842422</v>
      </c>
      <c r="F45" s="10">
        <f>E45*F74/100</f>
        <v>0.86052329848920384</v>
      </c>
      <c r="G45" s="10">
        <f>[1]Енисей!I57*100/[1]Енисей!$I$93</f>
        <v>1.2912409130191653</v>
      </c>
      <c r="H45" s="82">
        <f>G45*H74/100</f>
        <v>0.26809647704743023</v>
      </c>
      <c r="I45" s="77">
        <f t="shared" si="3"/>
        <v>1.3245153052365728</v>
      </c>
      <c r="J45" s="44"/>
      <c r="K45" s="9"/>
      <c r="L45" s="10"/>
      <c r="M45" s="10"/>
      <c r="N45" s="11"/>
      <c r="O45" s="11"/>
      <c r="P45" s="11"/>
      <c r="Q45" s="56"/>
      <c r="R45" s="30">
        <v>0</v>
      </c>
      <c r="S45" s="52">
        <f t="shared" si="4"/>
        <v>1.3245153052365728</v>
      </c>
    </row>
    <row r="46" spans="1:20" s="5" customFormat="1" ht="15" x14ac:dyDescent="0.25">
      <c r="A46" s="8">
        <v>33</v>
      </c>
      <c r="B46" s="89" t="s">
        <v>35</v>
      </c>
      <c r="C46" s="9">
        <f>0.164*100/19.886</f>
        <v>0.8247007945288144</v>
      </c>
      <c r="D46" s="115">
        <f>C46*D74/100</f>
        <v>0.12444322639042545</v>
      </c>
      <c r="E46" s="10">
        <f>[1]Енисей!E58*100/[1]Енисей!$E$93</f>
        <v>0.88519339983887491</v>
      </c>
      <c r="F46" s="10">
        <f>E46*F74/100</f>
        <v>0.78149564862795029</v>
      </c>
      <c r="G46" s="10">
        <f>[1]Енисей!I58*100/[1]Енисей!$I$93</f>
        <v>0.80321285140562249</v>
      </c>
      <c r="H46" s="82">
        <f>G46*H74/100</f>
        <v>0.16676867469879519</v>
      </c>
      <c r="I46" s="77">
        <f t="shared" si="3"/>
        <v>1.072707549717171</v>
      </c>
      <c r="J46" s="44"/>
      <c r="K46" s="9"/>
      <c r="L46" s="10"/>
      <c r="M46" s="10"/>
      <c r="N46" s="11"/>
      <c r="O46" s="11"/>
      <c r="P46" s="11"/>
      <c r="Q46" s="56"/>
      <c r="R46" s="30">
        <v>0</v>
      </c>
      <c r="S46" s="52">
        <f t="shared" si="4"/>
        <v>1.072707549717171</v>
      </c>
    </row>
    <row r="47" spans="1:20" s="5" customFormat="1" ht="15" x14ac:dyDescent="0.25">
      <c r="A47" s="8">
        <v>34</v>
      </c>
      <c r="B47" s="89" t="s">
        <v>36</v>
      </c>
      <c r="C47" s="9">
        <f>0.159*100/19.886</f>
        <v>0.799557477622448</v>
      </c>
      <c r="D47" s="115">
        <f>C47*D74/100</f>
        <v>0.12064922558583929</v>
      </c>
      <c r="E47" s="10">
        <v>0.56799999999999995</v>
      </c>
      <c r="F47" s="10">
        <f>E47*F74/100</f>
        <v>0.50146050399999997</v>
      </c>
      <c r="G47" s="10">
        <v>0.71260000000000001</v>
      </c>
      <c r="H47" s="82">
        <f>G47*H74/100</f>
        <v>0.14795500019999999</v>
      </c>
      <c r="I47" s="77">
        <f t="shared" si="3"/>
        <v>0.77006472978583917</v>
      </c>
      <c r="J47" s="44"/>
      <c r="K47" s="9"/>
      <c r="L47" s="10"/>
      <c r="M47" s="10"/>
      <c r="N47" s="11"/>
      <c r="O47" s="11"/>
      <c r="P47" s="11"/>
      <c r="Q47" s="56"/>
      <c r="R47" s="30">
        <v>0</v>
      </c>
      <c r="S47" s="52">
        <f t="shared" si="4"/>
        <v>0.77006472978583917</v>
      </c>
    </row>
    <row r="48" spans="1:20" s="5" customFormat="1" ht="15" x14ac:dyDescent="0.25">
      <c r="A48" s="8">
        <v>35</v>
      </c>
      <c r="B48" s="90" t="s">
        <v>37</v>
      </c>
      <c r="C48" s="9">
        <f>0.114*100/19.886</f>
        <v>0.57326762546515142</v>
      </c>
      <c r="D48" s="115">
        <f>C48*D74/100</f>
        <v>8.6503218344564023E-2</v>
      </c>
      <c r="E48" s="10">
        <v>0.56799999999999995</v>
      </c>
      <c r="F48" s="10">
        <f>E48*F74/100</f>
        <v>0.50146050399999997</v>
      </c>
      <c r="G48" s="10">
        <v>0.71260000000000001</v>
      </c>
      <c r="H48" s="82">
        <f>G48*H74/100</f>
        <v>0.14795500019999999</v>
      </c>
      <c r="I48" s="77">
        <f t="shared" si="3"/>
        <v>0.73591872254456392</v>
      </c>
      <c r="J48" s="44"/>
      <c r="K48" s="9"/>
      <c r="L48" s="10"/>
      <c r="M48" s="10"/>
      <c r="N48" s="11"/>
      <c r="O48" s="11"/>
      <c r="P48" s="11"/>
      <c r="Q48" s="56"/>
      <c r="R48" s="30">
        <v>0</v>
      </c>
      <c r="S48" s="52">
        <f t="shared" si="4"/>
        <v>0.73591872254456392</v>
      </c>
    </row>
    <row r="49" spans="1:19" s="5" customFormat="1" ht="15" x14ac:dyDescent="0.25">
      <c r="A49" s="8">
        <v>36</v>
      </c>
      <c r="B49" s="93" t="s">
        <v>38</v>
      </c>
      <c r="C49" s="9">
        <f>0.158*100/19.886</f>
        <v>0.79452881424117472</v>
      </c>
      <c r="D49" s="115">
        <f>C49*D74/100</f>
        <v>0.11989042542492205</v>
      </c>
      <c r="E49" s="10">
        <v>0.56799999999999995</v>
      </c>
      <c r="F49" s="10">
        <f>E49*F74/100</f>
        <v>0.50146050399999997</v>
      </c>
      <c r="G49" s="10">
        <v>0.71260000000000001</v>
      </c>
      <c r="H49" s="82">
        <f>G49*H74/100</f>
        <v>0.14795500019999999</v>
      </c>
      <c r="I49" s="77">
        <f t="shared" si="3"/>
        <v>0.76930592962492195</v>
      </c>
      <c r="J49" s="44"/>
      <c r="K49" s="9"/>
      <c r="L49" s="10"/>
      <c r="M49" s="10"/>
      <c r="N49" s="10"/>
      <c r="O49" s="10"/>
      <c r="P49" s="11"/>
      <c r="Q49" s="56"/>
      <c r="R49" s="30">
        <v>0</v>
      </c>
      <c r="S49" s="52">
        <f t="shared" si="4"/>
        <v>0.76930592962492195</v>
      </c>
    </row>
    <row r="50" spans="1:19" s="5" customFormat="1" ht="15" x14ac:dyDescent="0.25">
      <c r="A50" s="8">
        <v>37</v>
      </c>
      <c r="B50" s="93" t="s">
        <v>39</v>
      </c>
      <c r="C50" s="12"/>
      <c r="D50" s="115"/>
      <c r="E50" s="10">
        <v>0.56799999999999995</v>
      </c>
      <c r="F50" s="10">
        <f>E50*F74/100</f>
        <v>0.50146050399999997</v>
      </c>
      <c r="G50" s="10">
        <v>0.71260000000000001</v>
      </c>
      <c r="H50" s="82">
        <f>G50*H74/100</f>
        <v>0.14795500019999999</v>
      </c>
      <c r="I50" s="77">
        <f>H50+F51</f>
        <v>0.64941550419999994</v>
      </c>
      <c r="J50" s="44"/>
      <c r="K50" s="9"/>
      <c r="L50" s="10"/>
      <c r="M50" s="10"/>
      <c r="N50" s="11"/>
      <c r="O50" s="11"/>
      <c r="P50" s="11"/>
      <c r="Q50" s="56"/>
      <c r="R50" s="30">
        <v>0</v>
      </c>
      <c r="S50" s="52">
        <f t="shared" si="4"/>
        <v>0.64941550419999994</v>
      </c>
    </row>
    <row r="51" spans="1:19" s="5" customFormat="1" ht="15" x14ac:dyDescent="0.25">
      <c r="A51" s="8">
        <v>38</v>
      </c>
      <c r="B51" s="89" t="s">
        <v>40</v>
      </c>
      <c r="C51" s="9">
        <f>0.141*100/19.886</f>
        <v>0.70904153675952919</v>
      </c>
      <c r="D51" s="115">
        <f>C51*D74/100</f>
        <v>0.10699082268932916</v>
      </c>
      <c r="E51" s="10">
        <v>0.56799999999999995</v>
      </c>
      <c r="F51" s="10">
        <f>E51*F74/100</f>
        <v>0.50146050399999997</v>
      </c>
      <c r="G51" s="10">
        <v>0.71260000000000001</v>
      </c>
      <c r="H51" s="82">
        <f>G51*H74/100</f>
        <v>0.14795500019999999</v>
      </c>
      <c r="I51" s="77">
        <f>H51+F51+D51</f>
        <v>0.75640632688932907</v>
      </c>
      <c r="J51" s="44"/>
      <c r="K51" s="9"/>
      <c r="L51" s="10"/>
      <c r="M51" s="10"/>
      <c r="N51" s="10"/>
      <c r="O51" s="10"/>
      <c r="P51" s="11"/>
      <c r="Q51" s="56"/>
      <c r="R51" s="30">
        <v>0</v>
      </c>
      <c r="S51" s="52">
        <f t="shared" si="4"/>
        <v>0.75640632688932907</v>
      </c>
    </row>
    <row r="52" spans="1:19" s="5" customFormat="1" ht="15" x14ac:dyDescent="0.25">
      <c r="A52" s="8">
        <v>39</v>
      </c>
      <c r="B52" s="89" t="s">
        <v>41</v>
      </c>
      <c r="C52" s="12"/>
      <c r="D52" s="115"/>
      <c r="E52" s="10">
        <f>[1]Енисей!E66*100/[1]Енисей!$E$93</f>
        <v>1.6211969008285012</v>
      </c>
      <c r="F52" s="10">
        <f>E52*F74/100</f>
        <v>1.431278547487145</v>
      </c>
      <c r="G52" s="10">
        <f>[1]Енисей!I66*100/[1]Енисей!$I$93</f>
        <v>0.76762747191296832</v>
      </c>
      <c r="H52" s="82">
        <f>G52*H74/100</f>
        <v>0.15938018911087387</v>
      </c>
      <c r="I52" s="77">
        <f>H52+F52</f>
        <v>1.5906587365980189</v>
      </c>
      <c r="J52" s="44"/>
      <c r="K52" s="9"/>
      <c r="L52" s="10"/>
      <c r="M52" s="10"/>
      <c r="N52" s="11"/>
      <c r="O52" s="11"/>
      <c r="P52" s="11"/>
      <c r="Q52" s="56"/>
      <c r="R52" s="30">
        <v>0</v>
      </c>
      <c r="S52" s="52">
        <f t="shared" si="4"/>
        <v>1.5906587365980189</v>
      </c>
    </row>
    <row r="53" spans="1:19" s="5" customFormat="1" ht="15.75" thickBot="1" x14ac:dyDescent="0.3">
      <c r="A53" s="8">
        <v>40</v>
      </c>
      <c r="B53" s="91" t="s">
        <v>42</v>
      </c>
      <c r="C53" s="9">
        <f>[1]Енисей!C68*100/[1]Енисей!$C$93</f>
        <v>1.9902020820575625</v>
      </c>
      <c r="D53" s="115">
        <f>C53*D74/100</f>
        <v>0.30031154317207587</v>
      </c>
      <c r="E53" s="10">
        <f>[1]Енисей!E68*100/[1]Енисей!$E$93</f>
        <v>1.5714669345454184</v>
      </c>
      <c r="F53" s="10">
        <f>E53*F74/100</f>
        <v>1.3873742975642265</v>
      </c>
      <c r="G53" s="10">
        <f>[1]Енисей!I68*100/[1]Енисей!$I$93</f>
        <v>1.6877637130801688</v>
      </c>
      <c r="H53" s="82">
        <f>G53*H74/100</f>
        <v>0.35042531645569619</v>
      </c>
      <c r="I53" s="77">
        <f t="shared" ref="I53:I57" si="5">H53+F53+D53</f>
        <v>2.0381111571919988</v>
      </c>
      <c r="J53" s="44">
        <f>1.859*100/204.389</f>
        <v>0.9095401415927471</v>
      </c>
      <c r="K53" s="9">
        <f>J53*K74/100</f>
        <v>1.8304131533497401</v>
      </c>
      <c r="L53" s="10">
        <f>1.249*100/138.388</f>
        <v>0.90253490187010432</v>
      </c>
      <c r="M53" s="10">
        <f>L53*M74/100</f>
        <v>1.255231100962511</v>
      </c>
      <c r="N53" s="10">
        <f>0.763*100/77.385</f>
        <v>0.98597919493441877</v>
      </c>
      <c r="O53" s="10">
        <f>N53*O74/100</f>
        <v>0.94420424242424228</v>
      </c>
      <c r="P53" s="11"/>
      <c r="Q53" s="56"/>
      <c r="R53" s="52">
        <f>K53+M53+O53</f>
        <v>4.0298484967364931</v>
      </c>
      <c r="S53" s="52">
        <f>I53+R53</f>
        <v>6.0679596539284919</v>
      </c>
    </row>
    <row r="54" spans="1:19" s="5" customFormat="1" ht="15" x14ac:dyDescent="0.25">
      <c r="A54" s="97">
        <v>41</v>
      </c>
      <c r="B54" s="91" t="s">
        <v>43</v>
      </c>
      <c r="C54" s="9">
        <f>0.078*100/19.886</f>
        <v>0.39223574373931408</v>
      </c>
      <c r="D54" s="115">
        <f>C54*D74/100</f>
        <v>5.9186412551543797E-2</v>
      </c>
      <c r="E54" s="10">
        <v>0.56799999999999995</v>
      </c>
      <c r="F54" s="10">
        <f>E54*F74/100</f>
        <v>0.50146050399999997</v>
      </c>
      <c r="G54" s="10">
        <v>0.71260000000000001</v>
      </c>
      <c r="H54" s="82">
        <f>G54*H74/100</f>
        <v>0.14795500019999999</v>
      </c>
      <c r="I54" s="80">
        <f t="shared" si="5"/>
        <v>0.70860191675154371</v>
      </c>
      <c r="J54" s="45"/>
      <c r="K54" s="15"/>
      <c r="L54" s="16"/>
      <c r="M54" s="16"/>
      <c r="N54" s="74"/>
      <c r="O54" s="74"/>
      <c r="P54" s="74"/>
      <c r="Q54" s="75"/>
      <c r="R54" s="31">
        <v>0</v>
      </c>
      <c r="S54" s="53">
        <f t="shared" ref="S54:S57" si="6">I54</f>
        <v>0.70860191675154371</v>
      </c>
    </row>
    <row r="55" spans="1:19" s="5" customFormat="1" ht="15" x14ac:dyDescent="0.25">
      <c r="A55" s="8">
        <v>42</v>
      </c>
      <c r="B55" s="90" t="s">
        <v>44</v>
      </c>
      <c r="C55" s="9">
        <f>[1]Енисей!C72*100/[1]Енисей!$C$93</f>
        <v>1.8309859154929575</v>
      </c>
      <c r="D55" s="115">
        <f>C55*D74/100</f>
        <v>0.27628661971830981</v>
      </c>
      <c r="E55" s="10">
        <f>[1]Енисей!E72*100/[1]Енисей!$E$93</f>
        <v>1.903663109316412</v>
      </c>
      <c r="F55" s="10">
        <f>E55*F74/100</f>
        <v>1.6806546870493224</v>
      </c>
      <c r="G55" s="10">
        <f>[1]Енисей!I72*100/[1]Енисей!$I$93</f>
        <v>2.9993391286665649</v>
      </c>
      <c r="H55" s="82">
        <f>G55*H74/100</f>
        <v>0.62274378526765284</v>
      </c>
      <c r="I55" s="30">
        <f t="shared" si="5"/>
        <v>2.5796850920352852</v>
      </c>
      <c r="J55" s="30"/>
      <c r="K55" s="9"/>
      <c r="L55" s="10"/>
      <c r="M55" s="10"/>
      <c r="N55" s="10"/>
      <c r="O55" s="10"/>
      <c r="P55" s="11"/>
      <c r="Q55" s="56"/>
      <c r="R55" s="30">
        <v>0</v>
      </c>
      <c r="S55" s="66">
        <f t="shared" si="6"/>
        <v>2.5796850920352852</v>
      </c>
    </row>
    <row r="56" spans="1:19" s="5" customFormat="1" ht="15" x14ac:dyDescent="0.25">
      <c r="A56" s="8">
        <v>43</v>
      </c>
      <c r="B56" s="89" t="s">
        <v>45</v>
      </c>
      <c r="C56" s="9">
        <f>[1]Енисей!C75*100/[1]Енисей!$C$93</f>
        <v>2.5107164727495404</v>
      </c>
      <c r="D56" s="115">
        <f>C56*D74/100</f>
        <v>0.37885456215554186</v>
      </c>
      <c r="E56" s="10">
        <f>[1]Енисей!E75*100/[1]Енисей!$E$93</f>
        <v>1.2034651840506052</v>
      </c>
      <c r="F56" s="10">
        <f>E56*F74/100</f>
        <v>1.0624828481346291</v>
      </c>
      <c r="G56" s="10">
        <f>[1]Енисей!I75*100/[1]Енисей!$I$93</f>
        <v>1.2607391591683188</v>
      </c>
      <c r="H56" s="82">
        <f>G56*H74/100</f>
        <v>0.26176348940064054</v>
      </c>
      <c r="I56" s="30">
        <f t="shared" si="5"/>
        <v>1.7031008996908115</v>
      </c>
      <c r="J56" s="30"/>
      <c r="K56" s="9"/>
      <c r="L56" s="10"/>
      <c r="M56" s="10"/>
      <c r="N56" s="11"/>
      <c r="O56" s="11"/>
      <c r="P56" s="11"/>
      <c r="Q56" s="56"/>
      <c r="R56" s="30">
        <v>0</v>
      </c>
      <c r="S56" s="66">
        <f t="shared" si="6"/>
        <v>1.7031008996908115</v>
      </c>
    </row>
    <row r="57" spans="1:19" s="5" customFormat="1" ht="15" x14ac:dyDescent="0.25">
      <c r="A57" s="8">
        <v>44</v>
      </c>
      <c r="B57" s="89" t="s">
        <v>46</v>
      </c>
      <c r="C57" s="9">
        <f>[1]Енисей!C76*100/[1]Енисей!$C$93</f>
        <v>0.83282302510716466</v>
      </c>
      <c r="D57" s="115">
        <f>C57*D74/100</f>
        <v>0.12566883037354562</v>
      </c>
      <c r="E57" s="10">
        <f>[1]Енисей!E76*100/[1]Енисей!$E$93</f>
        <v>0.74594949424624291</v>
      </c>
      <c r="F57" s="10">
        <f>E57*F74/100</f>
        <v>0.65856374884377833</v>
      </c>
      <c r="G57" s="10">
        <f>[1]Енисей!I76*100/[1]Енисей!$I$93</f>
        <v>0.78287834883839147</v>
      </c>
      <c r="H57" s="82">
        <f>G57*H74/100</f>
        <v>0.16254668293426872</v>
      </c>
      <c r="I57" s="30">
        <f t="shared" si="5"/>
        <v>0.94677926215159269</v>
      </c>
      <c r="J57" s="30"/>
      <c r="K57" s="9"/>
      <c r="L57" s="10"/>
      <c r="M57" s="10"/>
      <c r="N57" s="11"/>
      <c r="O57" s="11"/>
      <c r="P57" s="11"/>
      <c r="Q57" s="56"/>
      <c r="R57" s="30">
        <v>0</v>
      </c>
      <c r="S57" s="66">
        <f t="shared" si="6"/>
        <v>0.94677926215159269</v>
      </c>
    </row>
    <row r="58" spans="1:19" s="5" customFormat="1" ht="15" x14ac:dyDescent="0.25">
      <c r="A58" s="8">
        <v>45</v>
      </c>
      <c r="B58" s="91" t="s">
        <v>47</v>
      </c>
      <c r="C58" s="9">
        <f>0.114*100/19.886</f>
        <v>0.57326762546515142</v>
      </c>
      <c r="D58" s="115">
        <f>C58*D74/100</f>
        <v>8.6503218344564023E-2</v>
      </c>
      <c r="E58" s="10">
        <v>0.56799999999999995</v>
      </c>
      <c r="F58" s="10">
        <f>E58:E59*F74/100</f>
        <v>0.50146050399999997</v>
      </c>
      <c r="G58" s="10">
        <v>0.71299999999999997</v>
      </c>
      <c r="H58" s="82">
        <f>G58*H74/100</f>
        <v>0.14803805099999998</v>
      </c>
      <c r="I58" s="30">
        <f t="shared" ref="I58:I67" si="7">H58+F58+D58</f>
        <v>0.73600177334456396</v>
      </c>
      <c r="J58" s="30">
        <f>2.101*100/204.389</f>
        <v>1.0279418168296728</v>
      </c>
      <c r="K58" s="9">
        <f>J58*K74/100</f>
        <v>2.0686917886970435</v>
      </c>
      <c r="L58" s="10">
        <f>2.192*100/138.388</f>
        <v>1.5839523658120647</v>
      </c>
      <c r="M58" s="10">
        <f>L58*M74/100</f>
        <v>2.2029356071335666</v>
      </c>
      <c r="N58" s="10">
        <f>1.0069*100/77.385</f>
        <v>1.3011565548878981</v>
      </c>
      <c r="O58" s="10">
        <f>N58*O74/100</f>
        <v>1.2460278528138526</v>
      </c>
      <c r="P58" s="11"/>
      <c r="Q58" s="56"/>
      <c r="R58" s="66">
        <f>K58+M58+O58</f>
        <v>5.5176552486444628</v>
      </c>
      <c r="S58" s="66">
        <f>I58+R58</f>
        <v>6.2536570219890271</v>
      </c>
    </row>
    <row r="59" spans="1:19" s="5" customFormat="1" ht="15" x14ac:dyDescent="0.25">
      <c r="A59" s="8">
        <v>46</v>
      </c>
      <c r="B59" s="89" t="s">
        <v>48</v>
      </c>
      <c r="C59" s="9">
        <f>[1]Енисей!C80*100/[1]Енисей!$C$93</f>
        <v>2.0453153704837721</v>
      </c>
      <c r="D59" s="115">
        <f>C59*D74/100</f>
        <v>0.30862786282914878</v>
      </c>
      <c r="E59" s="10">
        <f>[1]Енисей!E80*100/[1]Енисей!$E$93</f>
        <v>2.556120266950459</v>
      </c>
      <c r="F59" s="10">
        <f>E59*F74/100</f>
        <v>2.2566784460380136</v>
      </c>
      <c r="G59" s="10">
        <f>[1]Енисей!I80*100/[1]Енисей!$I$93</f>
        <v>1.8351888566925931</v>
      </c>
      <c r="H59" s="82">
        <f>G59*H74/100</f>
        <v>0.38103475674851306</v>
      </c>
      <c r="I59" s="30">
        <f t="shared" si="7"/>
        <v>2.9463410656156759</v>
      </c>
      <c r="J59" s="30"/>
      <c r="K59" s="9"/>
      <c r="L59" s="10"/>
      <c r="M59" s="10"/>
      <c r="N59" s="10"/>
      <c r="O59" s="10"/>
      <c r="P59" s="11"/>
      <c r="Q59" s="56"/>
      <c r="R59" s="30">
        <v>0</v>
      </c>
      <c r="S59" s="66">
        <f>I59</f>
        <v>2.9463410656156759</v>
      </c>
    </row>
    <row r="60" spans="1:19" s="5" customFormat="1" ht="15" x14ac:dyDescent="0.25">
      <c r="A60" s="8">
        <v>47</v>
      </c>
      <c r="B60" s="89" t="s">
        <v>49</v>
      </c>
      <c r="C60" s="9">
        <f>0.157*100/19.886</f>
        <v>0.78950015085990144</v>
      </c>
      <c r="D60" s="115">
        <f>C60*D74/100</f>
        <v>0.11913162526400482</v>
      </c>
      <c r="E60" s="10">
        <v>0.56799999999999995</v>
      </c>
      <c r="F60" s="10">
        <f>E60*F74/100</f>
        <v>0.50146050399999997</v>
      </c>
      <c r="G60" s="10">
        <v>0.71299999999999997</v>
      </c>
      <c r="H60" s="82">
        <f>G60*H74/100</f>
        <v>0.14803805099999998</v>
      </c>
      <c r="I60" s="30">
        <f t="shared" si="7"/>
        <v>0.76863018026400476</v>
      </c>
      <c r="J60" s="30"/>
      <c r="K60" s="9"/>
      <c r="L60" s="10"/>
      <c r="M60" s="10"/>
      <c r="N60" s="11"/>
      <c r="O60" s="11"/>
      <c r="P60" s="11"/>
      <c r="Q60" s="56"/>
      <c r="R60" s="66">
        <v>0</v>
      </c>
      <c r="S60" s="66">
        <f>I60</f>
        <v>0.76863018026400476</v>
      </c>
    </row>
    <row r="61" spans="1:19" s="5" customFormat="1" ht="15" x14ac:dyDescent="0.25">
      <c r="A61" s="8">
        <v>48</v>
      </c>
      <c r="B61" s="89" t="s">
        <v>50</v>
      </c>
      <c r="C61" s="9">
        <f>0.129*100/19.886</f>
        <v>0.64869757618425028</v>
      </c>
      <c r="D61" s="115">
        <f>C61*D74/100</f>
        <v>9.7885220758322442E-2</v>
      </c>
      <c r="E61" s="10">
        <f>[1]Енисей!E84*100/[1]Енисей!$E$93</f>
        <v>0.81557144704255879</v>
      </c>
      <c r="F61" s="10">
        <f>E61*F74/100</f>
        <v>0.7200296987358642</v>
      </c>
      <c r="G61" s="10">
        <f>[1]Енисей!I84*100/[1]Енисей!$I$93</f>
        <v>0.95572162065985455</v>
      </c>
      <c r="H61" s="82">
        <f>G61*H74/100</f>
        <v>0.19843361293274359</v>
      </c>
      <c r="I61" s="30">
        <f t="shared" si="7"/>
        <v>1.0163485324269304</v>
      </c>
      <c r="J61" s="30"/>
      <c r="K61" s="9"/>
      <c r="L61" s="10"/>
      <c r="M61" s="10"/>
      <c r="N61" s="10"/>
      <c r="O61" s="10"/>
      <c r="P61" s="11"/>
      <c r="Q61" s="56"/>
      <c r="R61" s="66">
        <v>0</v>
      </c>
      <c r="S61" s="66">
        <f>I61</f>
        <v>1.0163485324269304</v>
      </c>
    </row>
    <row r="62" spans="1:19" s="5" customFormat="1" ht="15" x14ac:dyDescent="0.25">
      <c r="A62" s="8">
        <v>49</v>
      </c>
      <c r="B62" s="91" t="s">
        <v>51</v>
      </c>
      <c r="C62" s="9">
        <f>[1]Енисей!C86*100/[1]Енисей!$C$93</f>
        <v>1.1879975505205143</v>
      </c>
      <c r="D62" s="115">
        <f>C62*D74/100</f>
        <v>0.17926289038579299</v>
      </c>
      <c r="E62" s="10">
        <v>0.56799999999999995</v>
      </c>
      <c r="F62" s="10">
        <f>E62*F74/100</f>
        <v>0.50146050399999997</v>
      </c>
      <c r="G62" s="10">
        <f>[1]Енисей!I86*100/[1]Енисей!$I$93</f>
        <v>1.1641502719739718</v>
      </c>
      <c r="H62" s="82">
        <f>G62*H74/100</f>
        <v>0.24170902851913983</v>
      </c>
      <c r="I62" s="30">
        <f t="shared" si="7"/>
        <v>0.92243242290493288</v>
      </c>
      <c r="J62" s="30"/>
      <c r="K62" s="9"/>
      <c r="L62" s="10"/>
      <c r="M62" s="10"/>
      <c r="N62" s="10"/>
      <c r="O62" s="10"/>
      <c r="P62" s="11"/>
      <c r="Q62" s="56"/>
      <c r="R62" s="66">
        <v>0</v>
      </c>
      <c r="S62" s="66">
        <f>I62</f>
        <v>0.92243242290493288</v>
      </c>
    </row>
    <row r="63" spans="1:19" s="5" customFormat="1" ht="15.75" thickBot="1" x14ac:dyDescent="0.3">
      <c r="A63" s="8">
        <v>50</v>
      </c>
      <c r="B63" s="94" t="s">
        <v>52</v>
      </c>
      <c r="C63" s="9">
        <f>[1]Енисей!C87*100/[1]Енисей!$C$93</f>
        <v>1.3962033067973052</v>
      </c>
      <c r="D63" s="115">
        <f>C63*D74/100</f>
        <v>0.21068009797917933</v>
      </c>
      <c r="E63" s="10">
        <v>0.56799999999999995</v>
      </c>
      <c r="F63" s="10">
        <f>E63*F74/100</f>
        <v>0.50146050399999997</v>
      </c>
      <c r="G63" s="10">
        <f>[1]Енисей!I87*100/[1]Енисей!$I$93</f>
        <v>1.0726450104214325</v>
      </c>
      <c r="H63" s="82">
        <f>G63*H74/100</f>
        <v>0.22271006557877077</v>
      </c>
      <c r="I63" s="30">
        <f>H63+F63+D63</f>
        <v>0.9348506675579501</v>
      </c>
      <c r="J63" s="30">
        <v>0.83699999999999997</v>
      </c>
      <c r="K63" s="9">
        <f>J63*K74/100</f>
        <v>1.6844290200000001</v>
      </c>
      <c r="L63" s="10"/>
      <c r="M63" s="10"/>
      <c r="N63" s="10"/>
      <c r="O63" s="10"/>
      <c r="P63" s="11"/>
      <c r="Q63" s="71"/>
      <c r="R63" s="30">
        <f>K63</f>
        <v>1.6844290200000001</v>
      </c>
      <c r="S63" s="66">
        <f>I63+K63</f>
        <v>2.6192796875579503</v>
      </c>
    </row>
    <row r="64" spans="1:19" s="5" customFormat="1" ht="15" x14ac:dyDescent="0.25">
      <c r="A64" s="97">
        <v>51</v>
      </c>
      <c r="B64" s="94" t="s">
        <v>74</v>
      </c>
      <c r="C64" s="9">
        <v>0.503</v>
      </c>
      <c r="D64" s="115">
        <f>C64*D74/100</f>
        <v>7.5900184999999995E-2</v>
      </c>
      <c r="E64" s="10">
        <v>0.56799999999999995</v>
      </c>
      <c r="F64" s="10">
        <f>E64*F74/100</f>
        <v>0.50146050399999997</v>
      </c>
      <c r="G64" s="10">
        <v>0.76400000000000001</v>
      </c>
      <c r="H64" s="82">
        <f>G64*H74/100</f>
        <v>0.158627028</v>
      </c>
      <c r="I64" s="30">
        <f>H64+F64+D64</f>
        <v>0.73598771699999987</v>
      </c>
      <c r="J64" s="30">
        <v>0.156</v>
      </c>
      <c r="K64" s="9">
        <f>J64*K74/100</f>
        <v>0.31394376000000002</v>
      </c>
      <c r="L64" s="10">
        <v>0.79800000000000004</v>
      </c>
      <c r="M64" s="10">
        <f>L64*M74/100</f>
        <v>1.1098456319999999</v>
      </c>
      <c r="N64" s="10">
        <v>1.238</v>
      </c>
      <c r="O64" s="10">
        <f>N64*O74/100</f>
        <v>1.185547178</v>
      </c>
      <c r="P64" s="11"/>
      <c r="Q64" s="71"/>
      <c r="R64" s="30">
        <f>O64+M64+K64</f>
        <v>2.60933657</v>
      </c>
      <c r="S64" s="30">
        <f>R64+I64</f>
        <v>3.345324287</v>
      </c>
    </row>
    <row r="65" spans="1:19" s="5" customFormat="1" ht="15" x14ac:dyDescent="0.25">
      <c r="A65" s="8">
        <v>52</v>
      </c>
      <c r="B65" s="94" t="s">
        <v>75</v>
      </c>
      <c r="C65" s="9"/>
      <c r="D65" s="115"/>
      <c r="E65" s="10"/>
      <c r="F65" s="10"/>
      <c r="G65" s="10"/>
      <c r="H65" s="82"/>
      <c r="I65" s="30">
        <v>0</v>
      </c>
      <c r="J65" s="30"/>
      <c r="K65" s="9"/>
      <c r="L65" s="10"/>
      <c r="M65" s="10"/>
      <c r="N65" s="10">
        <v>0.63200000000000001</v>
      </c>
      <c r="O65" s="10">
        <f>N65*O74/100</f>
        <v>0.60522279199999995</v>
      </c>
      <c r="P65" s="11"/>
      <c r="Q65" s="71"/>
      <c r="R65" s="30">
        <f>O65</f>
        <v>0.60522279199999995</v>
      </c>
      <c r="S65" s="30">
        <f>O65</f>
        <v>0.60522279199999995</v>
      </c>
    </row>
    <row r="66" spans="1:19" s="5" customFormat="1" ht="15" x14ac:dyDescent="0.25">
      <c r="A66" s="8">
        <v>53</v>
      </c>
      <c r="B66" s="94" t="s">
        <v>76</v>
      </c>
      <c r="C66" s="9">
        <v>6.0999999999999999E-2</v>
      </c>
      <c r="D66" s="115">
        <f>C66*D74/100</f>
        <v>9.2045949999999994E-3</v>
      </c>
      <c r="E66" s="10">
        <v>0.84</v>
      </c>
      <c r="F66" s="10">
        <f>E66*F74/100</f>
        <v>0.74159652000000009</v>
      </c>
      <c r="G66" s="10">
        <v>0.81299999999999994</v>
      </c>
      <c r="H66" s="82">
        <f>G66*H74/100</f>
        <v>0.168800751</v>
      </c>
      <c r="I66" s="30">
        <f>H66+F66+D66</f>
        <v>0.91960186600000016</v>
      </c>
      <c r="J66" s="30">
        <v>0.88700000000000001</v>
      </c>
      <c r="K66" s="9">
        <f>J66*K74/100</f>
        <v>1.78505202</v>
      </c>
      <c r="L66" s="10">
        <v>3.94</v>
      </c>
      <c r="M66" s="10">
        <f>L66*M74/100</f>
        <v>5.4796889599999998</v>
      </c>
      <c r="N66" s="10">
        <v>3.3969999999999998</v>
      </c>
      <c r="O66" s="10">
        <f>N66*O74/100</f>
        <v>3.2530725069999993</v>
      </c>
      <c r="P66" s="10">
        <v>1.96</v>
      </c>
      <c r="Q66" s="82">
        <f>P66*Q74/100</f>
        <v>0.16173920000000003</v>
      </c>
      <c r="R66" s="30">
        <f>Q66+O66+M66+K66</f>
        <v>10.679552686999999</v>
      </c>
      <c r="S66" s="30">
        <f>R66+I66</f>
        <v>11.599154553</v>
      </c>
    </row>
    <row r="67" spans="1:19" s="5" customFormat="1" ht="15" x14ac:dyDescent="0.25">
      <c r="A67" s="8">
        <v>54</v>
      </c>
      <c r="B67" s="89" t="s">
        <v>53</v>
      </c>
      <c r="C67" s="9">
        <f>[1]Енисей!C88*100/[1]Енисей!$C$93</f>
        <v>0.77770973668095522</v>
      </c>
      <c r="D67" s="115">
        <f>C67*D74/100</f>
        <v>0.11735251071647274</v>
      </c>
      <c r="E67" s="10">
        <v>0.56759999999999999</v>
      </c>
      <c r="F67" s="10">
        <f>E67*F74/100</f>
        <v>0.50110736280000001</v>
      </c>
      <c r="G67" s="10">
        <v>0.71299999999999997</v>
      </c>
      <c r="H67" s="82">
        <f>G67*H74/100</f>
        <v>0.14803805099999998</v>
      </c>
      <c r="I67" s="30">
        <f t="shared" si="7"/>
        <v>0.7664979245164727</v>
      </c>
      <c r="J67" s="30"/>
      <c r="K67" s="9"/>
      <c r="L67" s="10"/>
      <c r="M67" s="10"/>
      <c r="N67" s="11"/>
      <c r="O67" s="11"/>
      <c r="P67" s="11"/>
      <c r="Q67" s="71"/>
      <c r="R67" s="30">
        <v>0</v>
      </c>
      <c r="S67" s="30">
        <f>I67</f>
        <v>0.7664979245164727</v>
      </c>
    </row>
    <row r="68" spans="1:19" s="5" customFormat="1" ht="15" x14ac:dyDescent="0.25">
      <c r="A68" s="8">
        <v>55</v>
      </c>
      <c r="B68" s="89" t="s">
        <v>54</v>
      </c>
      <c r="C68" s="9">
        <f>0.108*100/19.886</f>
        <v>0.54309564517751185</v>
      </c>
      <c r="D68" s="115">
        <f>C68*D74/100</f>
        <v>8.1950417379060655E-2</v>
      </c>
      <c r="E68" s="10">
        <v>0.5675</v>
      </c>
      <c r="F68" s="10">
        <f>E68*F74/100</f>
        <v>0.50101907750000008</v>
      </c>
      <c r="G68" s="10">
        <v>0.71299999999999997</v>
      </c>
      <c r="H68" s="82">
        <f>G68*H74/100</f>
        <v>0.14803805099999998</v>
      </c>
      <c r="I68" s="30">
        <f>H68+F68+D68</f>
        <v>0.73100754587906069</v>
      </c>
      <c r="J68" s="30"/>
      <c r="K68" s="9"/>
      <c r="L68" s="10"/>
      <c r="M68" s="10"/>
      <c r="N68" s="11"/>
      <c r="O68" s="11"/>
      <c r="P68" s="11"/>
      <c r="Q68" s="56"/>
      <c r="R68" s="66">
        <v>0</v>
      </c>
      <c r="S68" s="66">
        <f>I68</f>
        <v>0.73100754587906069</v>
      </c>
    </row>
    <row r="69" spans="1:19" s="5" customFormat="1" ht="15" x14ac:dyDescent="0.25">
      <c r="A69" s="8">
        <v>56</v>
      </c>
      <c r="B69" s="89" t="s">
        <v>55</v>
      </c>
      <c r="C69" s="12"/>
      <c r="D69" s="115"/>
      <c r="E69" s="11"/>
      <c r="F69" s="11"/>
      <c r="G69" s="11"/>
      <c r="H69" s="83"/>
      <c r="I69" s="30">
        <v>0</v>
      </c>
      <c r="J69" s="30"/>
      <c r="K69" s="9"/>
      <c r="L69" s="10"/>
      <c r="M69" s="10"/>
      <c r="N69" s="10">
        <f>0.571*100/77.385</f>
        <v>0.73786909607805118</v>
      </c>
      <c r="O69" s="10">
        <f>N69*O74/100</f>
        <v>0.7066063203463202</v>
      </c>
      <c r="P69" s="10">
        <f>0.931*100/8.27</f>
        <v>11.257557436517535</v>
      </c>
      <c r="Q69" s="58">
        <f>P69*Q74/100</f>
        <v>0.9289736396614271</v>
      </c>
      <c r="R69" s="66">
        <f>Q69+O69</f>
        <v>1.6355799600077474</v>
      </c>
      <c r="S69" s="66">
        <f>R69</f>
        <v>1.6355799600077474</v>
      </c>
    </row>
    <row r="70" spans="1:19" s="5" customFormat="1" ht="15" x14ac:dyDescent="0.25">
      <c r="A70" s="8">
        <v>57</v>
      </c>
      <c r="B70" s="95" t="s">
        <v>56</v>
      </c>
      <c r="C70" s="15">
        <f>[1]Енисей!C92*100/[1]Енисей!$C$93</f>
        <v>4.470300061236987</v>
      </c>
      <c r="D70" s="117">
        <f>C70*D74/100</f>
        <v>0.67454592774035516</v>
      </c>
      <c r="E70" s="16">
        <f>[1]Енисей!E92*100/[1]Енисей!$E$93</f>
        <v>3.9883432959032454</v>
      </c>
      <c r="F70" s="16">
        <f>E70*F74/100</f>
        <v>3.5211208438180681</v>
      </c>
      <c r="G70" s="16">
        <f>[1]Енисей!I92*100/[1]Енисей!$I$93</f>
        <v>3.8635554877738802</v>
      </c>
      <c r="H70" s="85">
        <f>G70*H74/100</f>
        <v>0.80217843526002741</v>
      </c>
      <c r="I70" s="31">
        <f>H70+F70+D70</f>
        <v>4.9978452068184502</v>
      </c>
      <c r="J70" s="31">
        <f>2.969*100/204.389</f>
        <v>1.452622205696001</v>
      </c>
      <c r="K70" s="9">
        <f>J70*K74/100</f>
        <v>2.9233440840749747</v>
      </c>
      <c r="L70" s="10">
        <f>7.392*100/138.388</f>
        <v>5.3415035985779111</v>
      </c>
      <c r="M70" s="10">
        <f>L70*M74/100</f>
        <v>7.4288777408445812</v>
      </c>
      <c r="N70" s="10">
        <f>1.093*100/77.385</f>
        <v>1.4124184273438003</v>
      </c>
      <c r="O70" s="10">
        <f>N70*O74/100</f>
        <v>1.3525756709956707</v>
      </c>
      <c r="P70" s="11"/>
      <c r="Q70" s="56"/>
      <c r="R70" s="66">
        <f>K70+M70+O70</f>
        <v>11.704797495915228</v>
      </c>
      <c r="S70" s="66">
        <f>I70+R70</f>
        <v>16.702642702733677</v>
      </c>
    </row>
    <row r="71" spans="1:19" s="5" customFormat="1" ht="15" x14ac:dyDescent="0.25">
      <c r="A71" s="8">
        <v>58</v>
      </c>
      <c r="B71" s="91" t="s">
        <v>57</v>
      </c>
      <c r="C71" s="15">
        <f>0.0959*100/19.886</f>
        <v>0.48224881826410543</v>
      </c>
      <c r="D71" s="118">
        <f>C71*D74/100</f>
        <v>7.2768935431962181E-2</v>
      </c>
      <c r="E71" s="16">
        <v>0.56759999999999999</v>
      </c>
      <c r="F71" s="16">
        <f>E71*F74/100</f>
        <v>0.50110736280000001</v>
      </c>
      <c r="G71" s="16">
        <v>0.71299999999999997</v>
      </c>
      <c r="H71" s="85">
        <f>G71*H74/100</f>
        <v>0.14803805099999998</v>
      </c>
      <c r="I71" s="31">
        <f>H71+F71+D71</f>
        <v>0.72191434923196218</v>
      </c>
      <c r="J71" s="31"/>
      <c r="K71" s="15"/>
      <c r="L71" s="16"/>
      <c r="M71" s="16"/>
      <c r="N71" s="16"/>
      <c r="O71" s="16"/>
      <c r="P71" s="74"/>
      <c r="Q71" s="75"/>
      <c r="R71" s="86">
        <v>0</v>
      </c>
      <c r="S71" s="86">
        <f>I71</f>
        <v>0.72191434923196218</v>
      </c>
    </row>
    <row r="72" spans="1:19" s="5" customFormat="1" ht="15.75" thickBot="1" x14ac:dyDescent="0.3">
      <c r="A72" s="8">
        <v>59</v>
      </c>
      <c r="B72" s="96" t="s">
        <v>79</v>
      </c>
      <c r="C72" s="13"/>
      <c r="D72" s="119"/>
      <c r="E72" s="14"/>
      <c r="F72" s="14"/>
      <c r="G72" s="14"/>
      <c r="H72" s="84"/>
      <c r="I72" s="65">
        <v>0</v>
      </c>
      <c r="J72" s="65"/>
      <c r="K72" s="13"/>
      <c r="L72" s="14">
        <v>2.1999999999999999E-2</v>
      </c>
      <c r="M72" s="14">
        <f>L72*M74/100</f>
        <v>3.0597247999999997E-2</v>
      </c>
      <c r="N72" s="14"/>
      <c r="O72" s="14"/>
      <c r="P72" s="47"/>
      <c r="Q72" s="61"/>
      <c r="R72" s="68">
        <f>M72</f>
        <v>3.0597247999999997E-2</v>
      </c>
      <c r="S72" s="68">
        <f>M72</f>
        <v>3.0597247999999997E-2</v>
      </c>
    </row>
    <row r="73" spans="1:19" ht="18.75" customHeight="1" thickBot="1" x14ac:dyDescent="0.3">
      <c r="A73" s="124" t="s">
        <v>58</v>
      </c>
      <c r="B73" s="125"/>
      <c r="C73" s="25">
        <f t="shared" ref="C73:H73" si="8">SUM(C14:C71)</f>
        <v>92.744374159531162</v>
      </c>
      <c r="D73" s="120">
        <f t="shared" si="8"/>
        <v>13.994662338802446</v>
      </c>
      <c r="E73" s="25">
        <f t="shared" si="8"/>
        <v>89.477402485503688</v>
      </c>
      <c r="F73" s="25">
        <f t="shared" si="8"/>
        <v>78.99539321653441</v>
      </c>
      <c r="G73" s="25">
        <f t="shared" si="8"/>
        <v>89.57361349194241</v>
      </c>
      <c r="H73" s="28">
        <f t="shared" si="8"/>
        <v>18.597900648491535</v>
      </c>
      <c r="I73" s="42">
        <f>SUM(I14:I72)</f>
        <v>111.58795620382841</v>
      </c>
      <c r="J73" s="72">
        <f>SUM(J15:J71)</f>
        <v>80.437609944762187</v>
      </c>
      <c r="K73" s="40">
        <f t="shared" ref="K73:Q73" si="9">SUM(K14:K71)</f>
        <v>161.87747250943616</v>
      </c>
      <c r="L73" s="40">
        <f t="shared" si="9"/>
        <v>64.986263173107488</v>
      </c>
      <c r="M73" s="40">
        <f t="shared" si="9"/>
        <v>90.38185504094713</v>
      </c>
      <c r="N73" s="40">
        <f t="shared" si="9"/>
        <v>69.076639141952569</v>
      </c>
      <c r="O73" s="41">
        <f t="shared" si="9"/>
        <v>66.1499310181472</v>
      </c>
      <c r="P73" s="41">
        <f t="shared" si="9"/>
        <v>88.0792261185006</v>
      </c>
      <c r="Q73" s="42">
        <f t="shared" si="9"/>
        <v>7.2682977392986707</v>
      </c>
      <c r="R73" s="50">
        <f>SUM(R14:R72)</f>
        <v>325.36340639582914</v>
      </c>
      <c r="S73" s="73">
        <f>I73+R73</f>
        <v>436.95136259965756</v>
      </c>
    </row>
    <row r="74" spans="1:19" ht="17.25" customHeight="1" thickBot="1" x14ac:dyDescent="0.3">
      <c r="A74" s="126" t="s">
        <v>59</v>
      </c>
      <c r="B74" s="127"/>
      <c r="C74" s="102"/>
      <c r="D74" s="121">
        <v>15.089499999999999</v>
      </c>
      <c r="E74" s="102"/>
      <c r="F74" s="103">
        <v>88.285300000000007</v>
      </c>
      <c r="G74" s="103"/>
      <c r="H74" s="104">
        <v>20.762699999999999</v>
      </c>
      <c r="I74" s="105">
        <f>H74+F74+D74</f>
        <v>124.1375</v>
      </c>
      <c r="J74" s="106"/>
      <c r="K74" s="103">
        <v>201.24600000000001</v>
      </c>
      <c r="L74" s="102"/>
      <c r="M74" s="103">
        <v>139.07839999999999</v>
      </c>
      <c r="N74" s="102"/>
      <c r="O74" s="107">
        <v>95.763099999999994</v>
      </c>
      <c r="P74" s="108"/>
      <c r="Q74" s="105">
        <v>8.2520000000000007</v>
      </c>
      <c r="R74" s="109">
        <f>K74+M74+O74+Q74</f>
        <v>444.33949999999999</v>
      </c>
      <c r="S74" s="110">
        <f>I74+R74</f>
        <v>568.47699999999998</v>
      </c>
    </row>
    <row r="75" spans="1:19" ht="21.75" customHeight="1" thickBot="1" x14ac:dyDescent="0.3">
      <c r="A75" s="124" t="s">
        <v>60</v>
      </c>
      <c r="B75" s="125"/>
      <c r="C75" s="24"/>
      <c r="D75" s="120">
        <f>D74-D73</f>
        <v>1.0948376611975537</v>
      </c>
      <c r="E75" s="24"/>
      <c r="F75" s="25">
        <f>F74-F73</f>
        <v>9.2899067834655966</v>
      </c>
      <c r="G75" s="24"/>
      <c r="H75" s="28">
        <f>H74-H73</f>
        <v>2.1647993515084636</v>
      </c>
      <c r="I75" s="32">
        <f>H75+F75+D75</f>
        <v>12.549543796171614</v>
      </c>
      <c r="J75" s="26"/>
      <c r="K75" s="24">
        <f>K74-K73</f>
        <v>39.368527490563849</v>
      </c>
      <c r="L75" s="24"/>
      <c r="M75" s="24">
        <f>M74-M73</f>
        <v>48.696544959052858</v>
      </c>
      <c r="N75" s="24"/>
      <c r="O75" s="27">
        <f>O74-O73</f>
        <v>29.613168981852795</v>
      </c>
      <c r="P75" s="27"/>
      <c r="Q75" s="32">
        <f>Q74-Q73</f>
        <v>0.98370226070132993</v>
      </c>
      <c r="R75" s="50">
        <f>K75+M75+O75+Q75</f>
        <v>118.66194369217084</v>
      </c>
      <c r="S75" s="54">
        <f>R75+I75</f>
        <v>131.21148748834244</v>
      </c>
    </row>
    <row r="77" spans="1:19" ht="14.25" customHeight="1" x14ac:dyDescent="0.25">
      <c r="P77" s="23"/>
    </row>
    <row r="78" spans="1:19" ht="14.25" customHeight="1" x14ac:dyDescent="0.25">
      <c r="P78" s="23"/>
    </row>
    <row r="79" spans="1:19" ht="14.25" customHeight="1" x14ac:dyDescent="0.25">
      <c r="P79" s="23"/>
    </row>
    <row r="80" spans="1:19" ht="14.25" customHeight="1" x14ac:dyDescent="0.25">
      <c r="P80" s="23"/>
    </row>
    <row r="81" spans="16:16" ht="14.25" customHeight="1" x14ac:dyDescent="0.25">
      <c r="P81" s="23"/>
    </row>
    <row r="82" spans="16:16" ht="14.25" customHeight="1" x14ac:dyDescent="0.25">
      <c r="P82" s="23"/>
    </row>
    <row r="83" spans="16:16" ht="14.25" customHeight="1" x14ac:dyDescent="0.25">
      <c r="P83" s="23"/>
    </row>
  </sheetData>
  <mergeCells count="15">
    <mergeCell ref="M2:R2"/>
    <mergeCell ref="M3:S3"/>
    <mergeCell ref="A73:B73"/>
    <mergeCell ref="A74:B74"/>
    <mergeCell ref="A75:B75"/>
    <mergeCell ref="Q5:U7"/>
    <mergeCell ref="B5:P9"/>
    <mergeCell ref="A11:A13"/>
    <mergeCell ref="B11:B13"/>
    <mergeCell ref="C11:H12"/>
    <mergeCell ref="J11:Q12"/>
    <mergeCell ref="R11:R13"/>
    <mergeCell ref="S11:S13"/>
    <mergeCell ref="I11:I13"/>
    <mergeCell ref="R10:S10"/>
  </mergeCells>
  <pageMargins left="0.51181102362204722" right="0.11811023622047245" top="0.74803149606299213" bottom="0.74803149606299213" header="0.31496062992125984" footer="0.31496062992125984"/>
  <pageSetup paperSize="9" scale="75" fitToWidth="3" fitToHeight="3" orientation="landscape" horizontalDpi="180" verticalDpi="180" r:id="rId1"/>
  <rowBreaks count="1" manualBreakCount="1">
    <brk id="36" max="1614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G7"/>
  <sheetViews>
    <sheetView workbookViewId="0">
      <selection activeCell="K10" sqref="K10"/>
    </sheetView>
  </sheetViews>
  <sheetFormatPr defaultRowHeight="15" x14ac:dyDescent="0.25"/>
  <sheetData>
    <row r="2" spans="7:7" x14ac:dyDescent="0.25">
      <c r="G2" s="21"/>
    </row>
    <row r="3" spans="7:7" x14ac:dyDescent="0.25">
      <c r="G3" s="22"/>
    </row>
    <row r="4" spans="7:7" x14ac:dyDescent="0.25">
      <c r="G4" s="22"/>
    </row>
    <row r="5" spans="7:7" x14ac:dyDescent="0.25">
      <c r="G5" s="22"/>
    </row>
    <row r="6" spans="7:7" x14ac:dyDescent="0.25">
      <c r="G6" s="22"/>
    </row>
    <row r="7" spans="7:7" x14ac:dyDescent="0.25">
      <c r="G7" s="2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2024-12-24T02:46:33Z</dcterms:modified>
</cp:coreProperties>
</file>